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jmleo\Desktop\Cam Mun Palma\"/>
    </mc:Choice>
  </mc:AlternateContent>
  <xr:revisionPtr revIDLastSave="0" documentId="13_ncr:1_{A4BB513E-2D63-4BC9-882F-5D60793C2D94}" xr6:coauthVersionLast="47" xr6:coauthVersionMax="47" xr10:uidLastSave="{00000000-0000-0000-0000-000000000000}"/>
  <bookViews>
    <workbookView xWindow="0" yWindow="0" windowWidth="20490" windowHeight="10920" activeTab="2" xr2:uid="{85614184-83ED-4A8F-8526-A3A7D4684F55}"/>
  </bookViews>
  <sheets>
    <sheet name="Orçamento" sheetId="25" r:id="rId1"/>
    <sheet name="Mem. Cálculo" sheetId="27" r:id="rId2"/>
    <sheet name="Cronograma" sheetId="26"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26" l="1"/>
  <c r="I29" i="26"/>
  <c r="J29" i="26" s="1"/>
  <c r="I28" i="26"/>
  <c r="J28" i="26" s="1"/>
  <c r="I27" i="26"/>
  <c r="J27" i="26" s="1"/>
  <c r="I26" i="26"/>
  <c r="J26" i="26" s="1"/>
  <c r="I25" i="26"/>
  <c r="J25" i="26" s="1"/>
  <c r="I24" i="26"/>
  <c r="J24" i="26" s="1"/>
  <c r="I23" i="26"/>
  <c r="J23" i="26" s="1"/>
  <c r="I22" i="26"/>
  <c r="J22" i="26" s="1"/>
  <c r="I21" i="26"/>
  <c r="J21" i="26" s="1"/>
  <c r="I20" i="26"/>
  <c r="J20" i="26" s="1"/>
  <c r="I19" i="26"/>
  <c r="J19" i="26" s="1"/>
  <c r="I18" i="26"/>
  <c r="J18" i="26" s="1"/>
  <c r="I17" i="26"/>
  <c r="J17" i="26" s="1"/>
  <c r="I16" i="26"/>
  <c r="J16" i="26" s="1"/>
  <c r="I15" i="26"/>
  <c r="J15" i="26" s="1"/>
  <c r="J14" i="26"/>
  <c r="I13" i="26"/>
  <c r="D12" i="26"/>
  <c r="D31" i="26" s="1"/>
  <c r="F24" i="26"/>
  <c r="F30" i="26" s="1"/>
  <c r="H12" i="25"/>
  <c r="K9" i="25" s="1"/>
  <c r="C12" i="26"/>
  <c r="H30" i="26"/>
  <c r="H125" i="25"/>
  <c r="H117" i="25"/>
  <c r="H100" i="25"/>
  <c r="H83" i="25"/>
  <c r="H75" i="25"/>
  <c r="H66" i="25"/>
  <c r="H58" i="25"/>
  <c r="H59" i="25"/>
  <c r="H51" i="25"/>
  <c r="H47" i="25"/>
  <c r="H37" i="25"/>
  <c r="H28" i="25"/>
  <c r="H23" i="25"/>
  <c r="H13" i="25"/>
  <c r="E77" i="25"/>
  <c r="H120" i="27"/>
  <c r="H80" i="27"/>
  <c r="E81" i="25" s="1"/>
  <c r="H79" i="27"/>
  <c r="E80" i="25" s="1"/>
  <c r="H78" i="27"/>
  <c r="E79" i="25" s="1"/>
  <c r="H77" i="27"/>
  <c r="E78" i="25" s="1"/>
  <c r="H76" i="27"/>
  <c r="G77" i="25"/>
  <c r="H53" i="27"/>
  <c r="E54" i="25" s="1"/>
  <c r="H51" i="27"/>
  <c r="E52" i="25" s="1"/>
  <c r="H47" i="27"/>
  <c r="E48" i="25" s="1"/>
  <c r="H129" i="27"/>
  <c r="E130" i="25" s="1"/>
  <c r="F127" i="25"/>
  <c r="G127" i="25" s="1"/>
  <c r="F73" i="25"/>
  <c r="G73" i="25" s="1"/>
  <c r="H72" i="27"/>
  <c r="E73" i="25" s="1"/>
  <c r="H69" i="27"/>
  <c r="H67" i="27"/>
  <c r="H62" i="27"/>
  <c r="E63" i="25" s="1"/>
  <c r="H14" i="27"/>
  <c r="F15" i="25"/>
  <c r="G81" i="25"/>
  <c r="F68" i="25"/>
  <c r="G68" i="25" s="1"/>
  <c r="H18" i="27"/>
  <c r="E19" i="25" s="1"/>
  <c r="F19" i="25"/>
  <c r="H126" i="27"/>
  <c r="E127" i="25" s="1"/>
  <c r="H122" i="27"/>
  <c r="E123" i="25" s="1"/>
  <c r="H33" i="27"/>
  <c r="E34" i="25" s="1"/>
  <c r="H44" i="27"/>
  <c r="E45" i="25" s="1"/>
  <c r="H42" i="27"/>
  <c r="E43" i="25" s="1"/>
  <c r="H37" i="27"/>
  <c r="E38" i="25" s="1"/>
  <c r="A5" i="26"/>
  <c r="A6" i="26"/>
  <c r="H34" i="27"/>
  <c r="E35" i="25" s="1"/>
  <c r="G45" i="25"/>
  <c r="G35" i="25"/>
  <c r="G34" i="25"/>
  <c r="H68" i="27"/>
  <c r="E69" i="25" s="1"/>
  <c r="E70" i="25"/>
  <c r="H31" i="27"/>
  <c r="E32" i="25" s="1"/>
  <c r="H41" i="27"/>
  <c r="E42" i="25" s="1"/>
  <c r="H125" i="27"/>
  <c r="E126" i="25" s="1"/>
  <c r="H15" i="27"/>
  <c r="E16" i="25" s="1"/>
  <c r="H97" i="27"/>
  <c r="E98" i="25" s="1"/>
  <c r="H96" i="27"/>
  <c r="E97" i="25" s="1"/>
  <c r="H95" i="27"/>
  <c r="E96" i="25" s="1"/>
  <c r="H94" i="27"/>
  <c r="E95" i="25" s="1"/>
  <c r="H93" i="27"/>
  <c r="E94" i="25" s="1"/>
  <c r="H66" i="27"/>
  <c r="E67" i="25" s="1"/>
  <c r="H121" i="27"/>
  <c r="E122" i="25" s="1"/>
  <c r="E121" i="25"/>
  <c r="H119" i="27"/>
  <c r="E120" i="25" s="1"/>
  <c r="H118" i="27"/>
  <c r="E119" i="25" s="1"/>
  <c r="H117" i="27"/>
  <c r="E118" i="25" s="1"/>
  <c r="H114" i="27"/>
  <c r="E115" i="25" s="1"/>
  <c r="H111" i="27"/>
  <c r="E112" i="25" s="1"/>
  <c r="H107" i="27"/>
  <c r="E108" i="25" s="1"/>
  <c r="H106" i="27"/>
  <c r="E107" i="25" s="1"/>
  <c r="H104" i="27"/>
  <c r="E105" i="25" s="1"/>
  <c r="H103" i="27"/>
  <c r="E104" i="25" s="1"/>
  <c r="H102" i="27"/>
  <c r="E103" i="25" s="1"/>
  <c r="H101" i="27"/>
  <c r="E102" i="25" s="1"/>
  <c r="H100" i="27"/>
  <c r="E101" i="25" s="1"/>
  <c r="H92" i="27"/>
  <c r="E93" i="25" s="1"/>
  <c r="H91" i="27"/>
  <c r="E92" i="25" s="1"/>
  <c r="H89" i="27"/>
  <c r="E90" i="25" s="1"/>
  <c r="H86" i="27"/>
  <c r="E87" i="25" s="1"/>
  <c r="H84" i="27"/>
  <c r="E85" i="25" s="1"/>
  <c r="H83" i="27"/>
  <c r="E84" i="25" s="1"/>
  <c r="H75" i="27"/>
  <c r="E76" i="25" s="1"/>
  <c r="E68" i="25"/>
  <c r="H63" i="27"/>
  <c r="E64" i="25" s="1"/>
  <c r="H61" i="27"/>
  <c r="E62" i="25" s="1"/>
  <c r="H60" i="27"/>
  <c r="E61" i="25" s="1"/>
  <c r="H59" i="27"/>
  <c r="E60" i="25" s="1"/>
  <c r="H58" i="27"/>
  <c r="E59" i="25" s="1"/>
  <c r="H55" i="27"/>
  <c r="E56" i="25" s="1"/>
  <c r="H43" i="27"/>
  <c r="E44" i="25" s="1"/>
  <c r="H38" i="27"/>
  <c r="E39" i="25" s="1"/>
  <c r="H54" i="27"/>
  <c r="E55" i="25" s="1"/>
  <c r="H52" i="27"/>
  <c r="E53" i="25" s="1"/>
  <c r="H48" i="27"/>
  <c r="E49" i="25" s="1"/>
  <c r="H17" i="27"/>
  <c r="H40" i="27"/>
  <c r="E41" i="25" s="1"/>
  <c r="H39" i="27"/>
  <c r="E40" i="25" s="1"/>
  <c r="H28" i="27"/>
  <c r="E29" i="25" s="1"/>
  <c r="H32" i="27"/>
  <c r="E33" i="25" s="1"/>
  <c r="H30" i="27"/>
  <c r="E31" i="25" s="1"/>
  <c r="H29" i="27"/>
  <c r="E30" i="25" s="1"/>
  <c r="H25" i="27"/>
  <c r="E26" i="25" s="1"/>
  <c r="H23" i="27"/>
  <c r="E24" i="25" s="1"/>
  <c r="H24" i="27"/>
  <c r="E25" i="25" s="1"/>
  <c r="A7" i="26"/>
  <c r="B29" i="26"/>
  <c r="B28" i="26"/>
  <c r="B27" i="26"/>
  <c r="B26" i="26"/>
  <c r="B25" i="26"/>
  <c r="B24" i="26"/>
  <c r="B23" i="26"/>
  <c r="B22" i="26"/>
  <c r="B21" i="26"/>
  <c r="B20" i="26"/>
  <c r="B19" i="26"/>
  <c r="B18" i="26"/>
  <c r="B17" i="26"/>
  <c r="B16" i="26"/>
  <c r="B15" i="26"/>
  <c r="B14" i="26"/>
  <c r="B13" i="26"/>
  <c r="B12" i="26"/>
  <c r="E89" i="25"/>
  <c r="E109" i="25"/>
  <c r="E106" i="25"/>
  <c r="E91" i="25"/>
  <c r="E88" i="25"/>
  <c r="E86" i="25"/>
  <c r="G130" i="25"/>
  <c r="G126" i="25"/>
  <c r="G115" i="25"/>
  <c r="G112" i="25"/>
  <c r="G109" i="25"/>
  <c r="G108" i="25"/>
  <c r="G107" i="25"/>
  <c r="G123" i="25"/>
  <c r="G122" i="25"/>
  <c r="G121" i="25"/>
  <c r="G120" i="25"/>
  <c r="G119" i="25"/>
  <c r="G118" i="25"/>
  <c r="F98" i="25"/>
  <c r="G98" i="25" s="1"/>
  <c r="G96" i="25"/>
  <c r="G95" i="25"/>
  <c r="G94" i="25"/>
  <c r="G93" i="25"/>
  <c r="G92" i="25"/>
  <c r="G91" i="25"/>
  <c r="G90" i="25"/>
  <c r="G89" i="25"/>
  <c r="G97" i="25"/>
  <c r="G88" i="25"/>
  <c r="G87" i="25"/>
  <c r="G86" i="25"/>
  <c r="G85" i="25"/>
  <c r="G84" i="25"/>
  <c r="G67" i="25"/>
  <c r="G80" i="25"/>
  <c r="G79" i="25"/>
  <c r="G78" i="25"/>
  <c r="G76" i="25"/>
  <c r="G106" i="25"/>
  <c r="G105" i="25"/>
  <c r="G104" i="25"/>
  <c r="G103" i="25"/>
  <c r="G102" i="25"/>
  <c r="G101" i="25"/>
  <c r="G55" i="25"/>
  <c r="G42" i="25"/>
  <c r="G39" i="25"/>
  <c r="G43" i="25"/>
  <c r="G41" i="25"/>
  <c r="G40" i="25"/>
  <c r="G38" i="25"/>
  <c r="G29" i="25"/>
  <c r="G26" i="25"/>
  <c r="H20" i="27"/>
  <c r="E21" i="25" s="1"/>
  <c r="H19" i="27"/>
  <c r="E20" i="25" s="1"/>
  <c r="H16" i="27"/>
  <c r="E17" i="25" s="1"/>
  <c r="G54" i="25"/>
  <c r="G53" i="25"/>
  <c r="G52" i="25"/>
  <c r="G49" i="25"/>
  <c r="G48" i="25"/>
  <c r="G44" i="25"/>
  <c r="G33" i="25"/>
  <c r="G32" i="25"/>
  <c r="G31" i="25"/>
  <c r="G30" i="25"/>
  <c r="G25" i="25"/>
  <c r="G24" i="25"/>
  <c r="G21" i="25"/>
  <c r="G20" i="25"/>
  <c r="G19" i="25"/>
  <c r="G18" i="25"/>
  <c r="G56" i="25"/>
  <c r="G59" i="25"/>
  <c r="G60" i="25"/>
  <c r="G61" i="25"/>
  <c r="G62" i="25"/>
  <c r="G63" i="25"/>
  <c r="G64" i="25"/>
  <c r="G69" i="25"/>
  <c r="G70" i="25"/>
  <c r="E14" i="25"/>
  <c r="G17" i="25"/>
  <c r="G16" i="25"/>
  <c r="G15" i="25"/>
  <c r="G14" i="25"/>
  <c r="H11" i="25" l="1"/>
  <c r="H77" i="25"/>
  <c r="H81" i="25"/>
  <c r="H127" i="25"/>
  <c r="H35" i="25"/>
  <c r="H34" i="25"/>
  <c r="H45" i="25"/>
  <c r="H49" i="25"/>
  <c r="H38" i="25"/>
  <c r="H25" i="25"/>
  <c r="H32" i="25"/>
  <c r="H40" i="25"/>
  <c r="H44" i="25"/>
  <c r="H26" i="25"/>
  <c r="H29" i="25"/>
  <c r="H43" i="25"/>
  <c r="H39" i="25"/>
  <c r="H42" i="25"/>
  <c r="H30" i="25"/>
  <c r="H55" i="25"/>
  <c r="H53" i="25"/>
  <c r="H41" i="25"/>
  <c r="H126" i="25"/>
  <c r="C28" i="26" s="1"/>
  <c r="H130" i="25"/>
  <c r="H129" i="25" s="1"/>
  <c r="C29" i="26" s="1"/>
  <c r="H76" i="25"/>
  <c r="H89" i="25"/>
  <c r="H93" i="25"/>
  <c r="H115" i="25"/>
  <c r="H114" i="25" s="1"/>
  <c r="C26" i="26" s="1"/>
  <c r="H122" i="25"/>
  <c r="H123" i="25"/>
  <c r="H121" i="25"/>
  <c r="H107" i="25"/>
  <c r="H120" i="25"/>
  <c r="H112" i="25"/>
  <c r="H111" i="25" s="1"/>
  <c r="C25" i="26" s="1"/>
  <c r="H108" i="25"/>
  <c r="H119" i="25"/>
  <c r="H118" i="25"/>
  <c r="H109" i="25"/>
  <c r="H94" i="25"/>
  <c r="H96" i="25"/>
  <c r="H98" i="25"/>
  <c r="H68" i="25"/>
  <c r="H85" i="25"/>
  <c r="H97" i="25"/>
  <c r="H92" i="25"/>
  <c r="H95" i="25"/>
  <c r="H91" i="25"/>
  <c r="H90" i="25"/>
  <c r="H86" i="25"/>
  <c r="H88" i="25"/>
  <c r="H67" i="25"/>
  <c r="H87" i="25"/>
  <c r="H84" i="25"/>
  <c r="H73" i="25"/>
  <c r="H80" i="25"/>
  <c r="H79" i="25"/>
  <c r="H78" i="25"/>
  <c r="H101" i="25"/>
  <c r="H105" i="25"/>
  <c r="H106" i="25"/>
  <c r="H103" i="25"/>
  <c r="H102" i="25"/>
  <c r="H104" i="25"/>
  <c r="H56" i="25"/>
  <c r="H61" i="25"/>
  <c r="H69" i="25"/>
  <c r="H63" i="25"/>
  <c r="H70" i="25"/>
  <c r="H20" i="25"/>
  <c r="H21" i="25"/>
  <c r="E18" i="25"/>
  <c r="H18" i="25" s="1"/>
  <c r="H19" i="25"/>
  <c r="H24" i="25"/>
  <c r="H31" i="25"/>
  <c r="H33" i="25"/>
  <c r="H48" i="25"/>
  <c r="H52" i="25"/>
  <c r="H54" i="25"/>
  <c r="H60" i="25"/>
  <c r="H64" i="25"/>
  <c r="H62" i="25"/>
  <c r="H17" i="25"/>
  <c r="H15" i="25"/>
  <c r="H16" i="25"/>
  <c r="H14" i="25"/>
  <c r="C22" i="26" l="1"/>
  <c r="H72" i="25"/>
  <c r="C21" i="26" s="1"/>
  <c r="C27" i="26"/>
  <c r="C15" i="26"/>
  <c r="C16" i="26"/>
  <c r="H29" i="26"/>
  <c r="F29" i="26"/>
  <c r="H26" i="26"/>
  <c r="F26" i="26"/>
  <c r="H28" i="26"/>
  <c r="F28" i="26"/>
  <c r="H25" i="26"/>
  <c r="F25" i="26"/>
  <c r="C17" i="26"/>
  <c r="C14" i="26"/>
  <c r="C20" i="26"/>
  <c r="C19" i="26"/>
  <c r="C23" i="26"/>
  <c r="C18" i="26"/>
  <c r="C24" i="26"/>
  <c r="H21" i="26" l="1"/>
  <c r="F21" i="26"/>
  <c r="C13" i="26"/>
  <c r="H18" i="26"/>
  <c r="F18" i="26"/>
  <c r="H19" i="26"/>
  <c r="F19" i="26"/>
  <c r="H15" i="26"/>
  <c r="F15" i="26"/>
  <c r="H27" i="26"/>
  <c r="F27" i="26"/>
  <c r="H20" i="26"/>
  <c r="F20" i="26"/>
  <c r="H17" i="26"/>
  <c r="F17" i="26"/>
  <c r="H22" i="26"/>
  <c r="F22" i="26"/>
  <c r="H23" i="26"/>
  <c r="F23" i="26"/>
  <c r="H24" i="26"/>
  <c r="H16" i="26"/>
  <c r="F16" i="26"/>
  <c r="H14" i="26"/>
  <c r="F14" i="26"/>
  <c r="J13" i="26" l="1"/>
  <c r="J30" i="26" s="1"/>
  <c r="I32" i="26" s="1"/>
  <c r="C31" i="26"/>
  <c r="E30" i="26" s="1"/>
  <c r="F13" i="26"/>
  <c r="H13" i="26"/>
  <c r="F31" i="26" l="1"/>
  <c r="H31" i="26" l="1"/>
  <c r="D14" i="26"/>
  <c r="D29" i="26"/>
  <c r="D19" i="26"/>
  <c r="D25" i="26"/>
  <c r="D17" i="26"/>
  <c r="D24" i="26"/>
  <c r="D26" i="26"/>
  <c r="D16" i="26"/>
  <c r="D20" i="26"/>
  <c r="D27" i="26"/>
  <c r="D13" i="26"/>
  <c r="D21" i="26"/>
  <c r="I30" i="26"/>
  <c r="D23" i="26"/>
  <c r="D18" i="26"/>
  <c r="D22" i="26"/>
  <c r="D15" i="26"/>
  <c r="D28" i="26"/>
  <c r="G30" i="26"/>
  <c r="G31" i="26"/>
  <c r="E31" i="26"/>
</calcChain>
</file>

<file path=xl/sharedStrings.xml><?xml version="1.0" encoding="utf-8"?>
<sst xmlns="http://schemas.openxmlformats.org/spreadsheetml/2006/main" count="859" uniqueCount="377">
  <si>
    <t>PLANILHA ORÇAMENTÁRIA</t>
  </si>
  <si>
    <t>ITEM</t>
  </si>
  <si>
    <t>CÓD.</t>
  </si>
  <si>
    <t>DESCRIÇÃO</t>
  </si>
  <si>
    <t>UNID.</t>
  </si>
  <si>
    <t>QUANT.</t>
  </si>
  <si>
    <t>VALOR UNITÁRIO</t>
  </si>
  <si>
    <t>VALOR TOTAL C/BDI</t>
  </si>
  <si>
    <t>SEM BDI</t>
  </si>
  <si>
    <t>COM BDI</t>
  </si>
  <si>
    <t>1.1</t>
  </si>
  <si>
    <t>Responsável Técnico: José Marcio Gonçalves Lima, Engenheiro Civil, CREA – MG: 24.754 / D</t>
  </si>
  <si>
    <r>
      <rPr>
        <b/>
        <sz val="12"/>
        <color theme="1"/>
        <rFont val="Arial Narrow"/>
        <family val="2"/>
      </rPr>
      <t>EMPLEC – Empresa Leopoldinense de Construção Civil Ltda.</t>
    </r>
    <r>
      <rPr>
        <sz val="12"/>
        <color theme="1"/>
        <rFont val="Arial Narrow"/>
        <family val="2"/>
      </rPr>
      <t xml:space="preserve">
</t>
    </r>
    <r>
      <rPr>
        <sz val="10"/>
        <color theme="1"/>
        <rFont val="Arial Narrow"/>
        <family val="2"/>
      </rPr>
      <t>CNPJ: 26.115.618 / 0001 – 90
Rua Franklin José Silva, 132, Apt. 101, Bairro Pirineus, Leopoldina – MG, CEP: 36.704-001
E-mail: emplec@outlook.com – Tel.: (32) 99913 6848</t>
    </r>
  </si>
  <si>
    <r>
      <t xml:space="preserve">_______________________________________
</t>
    </r>
    <r>
      <rPr>
        <b/>
        <sz val="12"/>
        <color theme="1"/>
        <rFont val="Arial Narrow"/>
        <family val="2"/>
      </rPr>
      <t>EMPLEC EMPRESA LEOPOLDINENSE DE CONSTRUÇÃO CIVIL LTDA.</t>
    </r>
    <r>
      <rPr>
        <sz val="12"/>
        <color theme="1"/>
        <rFont val="Arial Narrow"/>
        <family val="2"/>
      </rPr>
      <t xml:space="preserve">
</t>
    </r>
    <r>
      <rPr>
        <sz val="10"/>
        <color theme="1"/>
        <rFont val="Arial Narrow"/>
        <family val="2"/>
      </rPr>
      <t>CNPJ: 26.115.618 / 0001 – 90</t>
    </r>
    <r>
      <rPr>
        <sz val="12"/>
        <color theme="1"/>
        <rFont val="Arial Narrow"/>
        <family val="2"/>
      </rPr>
      <t xml:space="preserve">
</t>
    </r>
    <r>
      <rPr>
        <b/>
        <sz val="12"/>
        <color theme="1"/>
        <rFont val="Arial Narrow"/>
        <family val="2"/>
      </rPr>
      <t>José Márcio Gonçalves Lima</t>
    </r>
    <r>
      <rPr>
        <sz val="12"/>
        <color theme="1"/>
        <rFont val="Arial Narrow"/>
        <family val="2"/>
      </rPr>
      <t xml:space="preserve">
</t>
    </r>
    <r>
      <rPr>
        <sz val="10"/>
        <color theme="1"/>
        <rFont val="Arial Narrow"/>
        <family val="2"/>
      </rPr>
      <t>CREA – MG: 24.754 / D</t>
    </r>
  </si>
  <si>
    <t>1.3</t>
  </si>
  <si>
    <t>1.4</t>
  </si>
  <si>
    <t>CRONOGRAMA FÍSICO-FINANCEIRO</t>
  </si>
  <si>
    <t>VALOR DOS  SERVIÇOS</t>
  </si>
  <si>
    <t>MÊS 01</t>
  </si>
  <si>
    <t>MÊS 02</t>
  </si>
  <si>
    <t>%</t>
  </si>
  <si>
    <t>TOTAL MENSAL</t>
  </si>
  <si>
    <t>TOTAL ACUMULADO</t>
  </si>
  <si>
    <r>
      <t xml:space="preserve">_______________________________________
</t>
    </r>
    <r>
      <rPr>
        <b/>
        <sz val="12"/>
        <color theme="1"/>
        <rFont val="Arial Narrow"/>
        <family val="2"/>
      </rPr>
      <t>EMPLEC - EMPRESA LEOPOLDINENSE DE CONSTRUÇÃO CIVIL LTDA.</t>
    </r>
    <r>
      <rPr>
        <sz val="12"/>
        <color theme="1"/>
        <rFont val="Arial Narrow"/>
        <family val="2"/>
      </rPr>
      <t xml:space="preserve">
</t>
    </r>
    <r>
      <rPr>
        <sz val="10"/>
        <color theme="1"/>
        <rFont val="Arial Narrow"/>
        <family val="2"/>
      </rPr>
      <t>CNPJ: 26.115.618 / 0001 – 90</t>
    </r>
    <r>
      <rPr>
        <sz val="12"/>
        <color theme="1"/>
        <rFont val="Arial Narrow"/>
        <family val="2"/>
      </rPr>
      <t xml:space="preserve">
</t>
    </r>
    <r>
      <rPr>
        <b/>
        <sz val="12"/>
        <color theme="1"/>
        <rFont val="Arial Narrow"/>
        <family val="2"/>
      </rPr>
      <t>José Márcio Gonçalves Lima</t>
    </r>
    <r>
      <rPr>
        <sz val="12"/>
        <color theme="1"/>
        <rFont val="Arial Narrow"/>
        <family val="2"/>
      </rPr>
      <t xml:space="preserve">
</t>
    </r>
    <r>
      <rPr>
        <sz val="10"/>
        <color theme="1"/>
        <rFont val="Arial Narrow"/>
        <family val="2"/>
      </rPr>
      <t>CREA – MG: 24.754 / D</t>
    </r>
  </si>
  <si>
    <t>BDI      =</t>
  </si>
  <si>
    <t>99059</t>
  </si>
  <si>
    <t xml:space="preserve">LOCACAO CONVENCIONAL DE OBRA, UTILIZANDO GABARITO DE TÁBUAS CORRIDAS </t>
  </si>
  <si>
    <t>M</t>
  </si>
  <si>
    <r>
      <t>M</t>
    </r>
    <r>
      <rPr>
        <vertAlign val="superscript"/>
        <sz val="8"/>
        <rFont val="Arial Narrow"/>
        <family val="2"/>
      </rPr>
      <t>3</t>
    </r>
  </si>
  <si>
    <t>ED-49810</t>
  </si>
  <si>
    <r>
      <t>M</t>
    </r>
    <r>
      <rPr>
        <vertAlign val="superscript"/>
        <sz val="8"/>
        <rFont val="Arial Narrow"/>
        <family val="2"/>
      </rPr>
      <t>2</t>
    </r>
  </si>
  <si>
    <t>CORTE, DOBRA E MONTAGEM DE AÇO CA-60, DIÂMETRO 5MM, INCLUSIVE ESPAÇADOR</t>
  </si>
  <si>
    <t>ED-29548</t>
  </si>
  <si>
    <t>CORTE, DOBRA E MONTAGEM DE AÇO CA-50, DIÂMETRO 6,3MM, INCLUSIVE ESPAÇADOR</t>
  </si>
  <si>
    <t>ED-29549</t>
  </si>
  <si>
    <t>CORTE, DOBRA E MONTAGEM DE AÇO CA-50, DIÂMETRO 10MM, INCLUSIVE ESPAÇADOR</t>
  </si>
  <si>
    <t>ED-29551</t>
  </si>
  <si>
    <t>1.2</t>
  </si>
  <si>
    <t>1.5</t>
  </si>
  <si>
    <t>COTAÇÃO</t>
  </si>
  <si>
    <t>QUANTITATIVOS</t>
  </si>
  <si>
    <t>MEMÓRIA DE CÁLCULO</t>
  </si>
  <si>
    <t>Leopoldina - MG, 17 de julho de 2023.</t>
  </si>
  <si>
    <t>PESO (%)</t>
  </si>
  <si>
    <t>OBRAS E SERVIÇOS A EXECUTAR</t>
  </si>
  <si>
    <t>DEMOLIÇÃO DE LAJES, DE FORMA MECANIZADA COM MARTELETE, SEM REAPROVEITAMENTO.</t>
  </si>
  <si>
    <t>97629</t>
  </si>
  <si>
    <t>Q =</t>
  </si>
  <si>
    <t>DEMOLIÇÃO DE ALVENARIA DE BLOCO FURADO, DE FORMA MANUAL, SEM REAPROVEITAMENTO.</t>
  </si>
  <si>
    <t>97622</t>
  </si>
  <si>
    <t>ED-48454</t>
  </si>
  <si>
    <t>REMOÇÃO MANUAL DE ENGRADAMENTO PARA TELHA TIPO METÁLICA, PVC OU FIBROCIMENTO, COM REAPROVEITAMENTO, INCLUSIVE AFASTAMENTO E EMPILHAMENTO, EXCLUSIVE TRANSPORTE E RETIRADA DO MATERIAL REMOVIDO NÃO REAPROVEITÁVEL</t>
  </si>
  <si>
    <t>1.6</t>
  </si>
  <si>
    <t>1.7</t>
  </si>
  <si>
    <t>Kg</t>
  </si>
  <si>
    <r>
      <t>Endereço:</t>
    </r>
    <r>
      <rPr>
        <sz val="10"/>
        <color theme="1"/>
        <rFont val="Arial Narrow"/>
        <family val="2"/>
      </rPr>
      <t xml:space="preserve"> Rua Paula Freitas nº 161, Centro - Palma / MG</t>
    </r>
  </si>
  <si>
    <r>
      <t>Contratante:</t>
    </r>
    <r>
      <rPr>
        <sz val="10"/>
        <color theme="1"/>
        <rFont val="Arial Narrow"/>
        <family val="2"/>
      </rPr>
      <t xml:space="preserve"> Câmara Municipal de Palma / MG</t>
    </r>
  </si>
  <si>
    <r>
      <t xml:space="preserve">Data: </t>
    </r>
    <r>
      <rPr>
        <sz val="10"/>
        <color theme="1"/>
        <rFont val="Arial Narrow"/>
        <family val="2"/>
      </rPr>
      <t>17/08/2023</t>
    </r>
  </si>
  <si>
    <t>SERVIÇOS PRELIMINARES</t>
  </si>
  <si>
    <t>FORNECIMENTO E COLOCAÇÃO DE PLACA DE OBRA EM CHAPA GALVANIZADA #26, ESP. 0,45 MM, PLOTADA COM ADESIVO VINÍLICO, AFIXADA COM REBITES 4,8X40 MM, EM ESTRUTURA METÁLICA DE METALON 20X20 MM, ESP. 1,25 MM, INCLUSIVE SUPORTE EM EUCALIPTO AUTOCLAVADO PINTADO COM TINTA PVA DUAS (2) DEMÃOS</t>
  </si>
  <si>
    <t>ED-16660</t>
  </si>
  <si>
    <t>3,00*1,50 =</t>
  </si>
  <si>
    <t>(1,20+0,15+3,84+0,15+6,52+0,15+0,60)*0,50*0,12 =</t>
  </si>
  <si>
    <t>1.8</t>
  </si>
  <si>
    <t>(1,20+0,15+3,84+0,15+6,52+0,15+0,60)*1,00 =</t>
  </si>
  <si>
    <t>BARRACÃO DE OBRA, EM CHAPA DE COMPENSADO RESINADO, INCLUSIVE INSTALAÇÕES SANITÁRIAS E MOBILIÁRIO - PADRÃO DER-MG</t>
  </si>
  <si>
    <t>ED-50135</t>
  </si>
  <si>
    <t>2,40*2,40 =</t>
  </si>
  <si>
    <t>CUSTO TOTAL DAS OBRAS E SERVIÇOS</t>
  </si>
  <si>
    <t>2.1</t>
  </si>
  <si>
    <t>2.2</t>
  </si>
  <si>
    <t>2.3</t>
  </si>
  <si>
    <t>MOVIMENTAÇÃO DE TERRA</t>
  </si>
  <si>
    <t>ED-51107</t>
  </si>
  <si>
    <t>ESCAVAÇÃO MANUAL DE VALA COM PROFUNDIDADE MENOR OU IGUAL A 1,5M, INCLUSIVE DESCARGA LATERAL</t>
  </si>
  <si>
    <t>ED-51093</t>
  </si>
  <si>
    <t>APILOAMENTO MANUAL EM FUNDO DE VALA COM SOQUETE, EXCLUSIVE ESCAVAÇÃO</t>
  </si>
  <si>
    <t>ED-29550</t>
  </si>
  <si>
    <t>CORTE, DOBRA E MONTAGEM DE AÇO CA-50, DIÂMETRO 8MM, INCLUSIVE ESPAÇADOR</t>
  </si>
  <si>
    <t>FÔRMA E DESFORMA PARA VIGA-CINTA/BLOCO COM TÁBUA E SARRAFO, REAPROVEITAMENTO (3X) (FUNDAÇÃO)</t>
  </si>
  <si>
    <t>ED-51120</t>
  </si>
  <si>
    <t>REATERRO MANUAL DE VALA, INCLUSIVE ESPALHAMENTO E COMPACTAÇÃO MANUAL COM SOQUETE</t>
  </si>
  <si>
    <t>FUNDAÇÕES</t>
  </si>
  <si>
    <t>3.1</t>
  </si>
  <si>
    <t>3.2</t>
  </si>
  <si>
    <t>3.3</t>
  </si>
  <si>
    <t>3.4</t>
  </si>
  <si>
    <t>3.5</t>
  </si>
  <si>
    <t>ED-50174</t>
  </si>
  <si>
    <t>PINTURA COM EMULSÃO ASFÁLTICA, DUAS (2) DEMÃOS</t>
  </si>
  <si>
    <t>4.1</t>
  </si>
  <si>
    <t>4.2</t>
  </si>
  <si>
    <t>4.3</t>
  </si>
  <si>
    <t>4.4</t>
  </si>
  <si>
    <t>4.5</t>
  </si>
  <si>
    <t>4.6</t>
  </si>
  <si>
    <t>4.7</t>
  </si>
  <si>
    <t>PAVIMENTO TÉRREO</t>
  </si>
  <si>
    <t>ESTRUTURA DE CONCRETO</t>
  </si>
  <si>
    <t>CORTE, DOBRA E MONTAGEM DE AÇO CA-50, DIÂMETRO 12,5MM,INCLUSIVE ESPAÇADOR</t>
  </si>
  <si>
    <t>ED-29552</t>
  </si>
  <si>
    <t>ED-49643</t>
  </si>
  <si>
    <t>FÔRMA E DESFORMA DE TÁBUA E SARRAFO, REAPROVEITAMENTO (3X), EXCLUSIVE ESCORAMENTO</t>
  </si>
  <si>
    <t>ED-19633</t>
  </si>
  <si>
    <t>ESCORAMENTO METÁLICO PARA LAJE E VIGA EM CONCRETO ARMADO, TIPO "A", ALTURA DE (200 ATÉ 310)CM, INCLUSIVE DESCARGA, MONTAGEM, DESMONTAGEM E CARGA</t>
  </si>
  <si>
    <r>
      <t>M</t>
    </r>
    <r>
      <rPr>
        <vertAlign val="superscript"/>
        <sz val="8"/>
        <rFont val="Arial Narrow"/>
        <family val="2"/>
      </rPr>
      <t>2</t>
    </r>
    <r>
      <rPr>
        <sz val="8"/>
        <rFont val="Arial Narrow"/>
        <family val="2"/>
      </rPr>
      <t xml:space="preserve"> x MÊS</t>
    </r>
  </si>
  <si>
    <t>ALVENARIA</t>
  </si>
  <si>
    <t>5.1</t>
  </si>
  <si>
    <t>5.2</t>
  </si>
  <si>
    <t>ALVENARIA DE VEDAÇÃO COM TIJOLO CERÂMICO FURADO, ESP. 14CM, PARA REVESTIMENTO, INCLUSIVE ARGAMASSA PARA ASSENTAMENTO</t>
  </si>
  <si>
    <t>ED-48232</t>
  </si>
  <si>
    <t>ED-9903</t>
  </si>
  <si>
    <t>VERGA OU CONTRAVERGA EM CONCRETO ESTRUTURAL PARA
VÃOS DE ATÉ 150CM, PREPARADO EM OBRA COM BETONEIRA, CONTROLE "A", COM FCK 20 MPA, MOLDADA IN LOCO, INCLUSIVE ARMAÇÃO</t>
  </si>
  <si>
    <t>REVESTIMENTO</t>
  </si>
  <si>
    <t>6.1</t>
  </si>
  <si>
    <t>6.2</t>
  </si>
  <si>
    <t>ED-50727</t>
  </si>
  <si>
    <t>CHAPISCO COM ARGAMASSA, TRAÇO 1:3 (CIMENTO E AREIA), ESP. 5MM, APLICADO EM ALVENARIA/ESTRUTURA DE CONCRETO COM COLHER, INCLUSIVE ARGAMASSA COM PREPARO MECANIZADO</t>
  </si>
  <si>
    <t>ED-50728</t>
  </si>
  <si>
    <t>CHAPISCO COM ARGAMASSA, TRAÇO 1:3 (CIMENTO E AREIA), ESP . 5MM, APLICADO EM TETO COM COLHER, INCLUSIVE ARGAMASSA COM PREPARO MECANIZADO</t>
  </si>
  <si>
    <t>6.3</t>
  </si>
  <si>
    <t>6.4</t>
  </si>
  <si>
    <t>6.5</t>
  </si>
  <si>
    <t>REVESTIMENTO COM ARGAMASSA EM CAMADA ÚNICA, APLICADO
EM PAREDE, TRAÇO 1:3 (CIMENTO E AREIA), ESP. 20MM, APLICAÇÃO MANUAL, INCLUSIVE ARGAMASSA COM PREPARO MECANIZADO, EXCLUSIVE CHAPISCO</t>
  </si>
  <si>
    <t>ED-50762</t>
  </si>
  <si>
    <t>REVESTIMENTO COM ARGAMASSA EM CAMADA ÚNICA, APLICADO
EM TETO, TRAÇO 1:3 (CIMENTO E AREIA), ESP. 20MM, APLICAÇÃO MANUAL, INCLUSIVE ARGAMASSA COM PREPARO MECANIZADO, EXCLUSIVE CHAPISCO</t>
  </si>
  <si>
    <t>ED-50763</t>
  </si>
  <si>
    <t>REVESTIMENTO COM CERÂMICA APLICADO EM PAREDE,
ACABAMENTO ESMALTADO, AMBIENTE INTERNO/EXTERNO,
PADRÃO EXTRA, DIMENSÃO DA PEÇA ATÉ 2025 CM2, PEI III,
ASSENTAMENTO COM ARGAMASSA INDUSTRIALIZADA, INCLUSIVE
REJUNTAMENTO</t>
  </si>
  <si>
    <t>ED-9081</t>
  </si>
  <si>
    <t>PAVIMENTAÇÃO</t>
  </si>
  <si>
    <t>CONTRAPISO DESEMPENADO COM ARGAMASSA, TRAÇO 1:3 ( CIMENTO E AREIA), ESP. 20MM</t>
  </si>
  <si>
    <t>ED-50566</t>
  </si>
  <si>
    <t>7.1</t>
  </si>
  <si>
    <t>7.2</t>
  </si>
  <si>
    <t>7.3</t>
  </si>
  <si>
    <t>7.4</t>
  </si>
  <si>
    <t>7.5</t>
  </si>
  <si>
    <t>7.6</t>
  </si>
  <si>
    <t>REVESTIMENTO COM PORCELANATO APLICADO EM PISO,
ACABAMENTO POLÍDO, AMBIENTE INTERNO, PADRÃO EXTRA,
BORDA RETIFICADA, DIMENSÃO DA PEÇA (60X60CM), ASSENTAMENTO COM ARGAMASSA INDUSTRIALIZADA, INCLUSIVE REJUNTAMENTO</t>
  </si>
  <si>
    <t>ED-50754</t>
  </si>
  <si>
    <t>ED-50542</t>
  </si>
  <si>
    <t>REVESTIMENTO COM CERÂMICA APLICADO EM PISO,
ACABAMENTO ESMALTADO, AMBIENTE INTERNO, PADRÃO EXTRA, DIMENSÃO DA PEÇA ATÉ 2025 CM2, PEI V, ASSENTAMENTO COM ARGAMASSA INDUSTRIALIZADA, INCLUSIVE REJUNTAMENTO</t>
  </si>
  <si>
    <t>98671</t>
  </si>
  <si>
    <t>PISO EM GRANITO APLICADO EM AMBIENTES INTERNOS.</t>
  </si>
  <si>
    <t>PISO EM CONCRETO, PREPARADO EM OBRA COM BETONEIRA,
FCK 10MPA, SEM ARMAÇÃO, ACABAMENTO RÚSTICO, ESP. 5CM, INCLUSIVE FORNECIMENTO, LANÇAMENTO, ADENSAMENTO, SARRAFEAMENTO, EXCLUSIVE JUNTA DE DILATAÇÃO</t>
  </si>
  <si>
    <t>ED-9317</t>
  </si>
  <si>
    <t>PEITORIL EM GRANITO PRETO SÃO GABRIEL.</t>
  </si>
  <si>
    <t>SOLEIRA EM GRANITO PRETO SÃO GABRIEL.</t>
  </si>
  <si>
    <t>PINTURA</t>
  </si>
  <si>
    <t>8.1</t>
  </si>
  <si>
    <t>8.2</t>
  </si>
  <si>
    <t>8.3</t>
  </si>
  <si>
    <t>8.4</t>
  </si>
  <si>
    <t>ED-50514</t>
  </si>
  <si>
    <t>PREPARAÇÃO PARA EMASSAMENTO OU PINTURA (LÁTEX/ ACRÍLICA) EM PAREDE, INCLUSIVE UMA (1) DEMÃO DE SELADOR ACRÍLICO</t>
  </si>
  <si>
    <t>EMASSAMENTO EM PAREDE COM MASSA ACRÍLICA, DUAS (2 DEMÃOS, INCLUSIVE LIXAMENTO PARA PINTURA</t>
  </si>
  <si>
    <t>ED-50474</t>
  </si>
  <si>
    <t>EMASSAMENTO EM TETO COM MASSA ACRÍLICA, DUAS (2) DEMÃOS, INCLUSIVE LIXAMENTO PARA PINTURA</t>
  </si>
  <si>
    <t>ED-50476</t>
  </si>
  <si>
    <t>PINTURA ACRÍLICA EM PAREDE, DUAS (2) DEMÃOS, EXCLUSIVE SELADOR ACRÍLICO E MASSA ACRÍLICA/CORRIDA (PVA)</t>
  </si>
  <si>
    <t>ED-50451</t>
  </si>
  <si>
    <t>ED-50452</t>
  </si>
  <si>
    <t>PINTURA ACRÍLICA EM TETO, DUAS (2) DEMÃOS, EXCLUSIVE SELADOR ACRÍLICO E MASSA ACRÍLICA/CORRIDA (PVA)</t>
  </si>
  <si>
    <t>ED-50491</t>
  </si>
  <si>
    <t>PINTURA ESMALTE EM ESQUADRIAS DE FERRO, DUAS (2) DEMÃOS, INCLUSIVE UMA (1) DEMÃO DE FUNDO ANTICORROSIVO</t>
  </si>
  <si>
    <t>VIDRO TEMPERADO</t>
  </si>
  <si>
    <t>9.1</t>
  </si>
  <si>
    <t>ESTRUTURA METÁLICA / COBERTURA / CALHA / CONDUTOR ´PLUVIAL</t>
  </si>
  <si>
    <t>10.1</t>
  </si>
  <si>
    <t>FORNECIMENTO DE ESTRUTURA METÁLICA E ENGRADAMENTO METÁLICO PARA TELHADO, COBERTURA EM TELHA DE AÇO, EXCLUSIVE TELHA, INCLUSIVE PILAR METÁLICO, FABRICAÇÃO, TRANSPORTE, MONTAGEM, APLICAÇÃO DE FUNDO PREPARADOR ANTICORROSIVO, UMA (1) DEMÃO E PINTURA ESMALTE, DUAS (2) DEMÃOS</t>
  </si>
  <si>
    <t>ED-50661</t>
  </si>
  <si>
    <t>CALHA EM CHAPA GALVANIZADA, ESP. 0,5MM (GSG-26), COM DESENVOLVIMENTO DE 33CM, INCLUSIVE IÇAMENTO MANUAL VERTICAL</t>
  </si>
  <si>
    <t>ED-50668</t>
  </si>
  <si>
    <t>CONDUTOR DE AP DO TELHADO EM TUBO PVC ESGOTO, INCLUSIVE CONEXÕES E SUPORTES, 100 MM</t>
  </si>
  <si>
    <t>11.1</t>
  </si>
  <si>
    <t>11.2</t>
  </si>
  <si>
    <t>11.3</t>
  </si>
  <si>
    <t>11.4</t>
  </si>
  <si>
    <t>12.1</t>
  </si>
  <si>
    <t>12.2</t>
  </si>
  <si>
    <t>RODAPÉ / PEITORIL / SOLEIRA</t>
  </si>
  <si>
    <t>ED-50771</t>
  </si>
  <si>
    <t>RODAPÉ COM REVESTIMENTO EM CERÂMICA ESMALTADA COMERCIAL, ALTURA 10CM, PEI IV, ASSENTAMENTO COM ARGAMASSA INDUSTRIALIZADA, INCLUSIVE REJUNTAMENTO</t>
  </si>
  <si>
    <t>INSTALAÇÕES HIDRO SANITÁRIAS</t>
  </si>
  <si>
    <t>ED-49936</t>
  </si>
  <si>
    <t>CAIXA D´ÁGUA DE POLIETILENO, CAPACIDADE DE 1.000L, INCLUSIVE TAMPA, TORNEIRA DE BOIA, EXTRAVASOR, TUBO DE LIMPEZA E ACESSÓRIOS, EXCLUSIVE TUBULAÇÃO DE ENTRADA/ SAÍDA DE ÁGUA</t>
  </si>
  <si>
    <t>UNID</t>
  </si>
  <si>
    <t>PONTO DE EMBUTIR PARA ÁGUA FRIA EM TUBO DE PVC RÍGIDO SOLDÁVEL, DN 20MM (1/2"), EMBUTIDO NA ALVENARIA COM DISTÂNCIA DE ATÉ CINCO (5) METROS DA TOMADA DE ÁGUA, INCLUSIVE CONEXÕES E FIXAÇÃO DO TUBO COM ENCHIMENTO DO RASGO NA ALVENARIA/CONCRETO COM ARGAMASSA</t>
  </si>
  <si>
    <t>ED-50223</t>
  </si>
  <si>
    <t>PONTO DE EMBUTIR PARA ESGOTO EM TUBO PVC RÍGIDO, PB - SÉRIE NORMAL, DN 40MM (1.1/2"), EMBUTIDO NA ALVENARIA/PISO, COM ALTURA (SAÍDA) DE 50CM DO PISO, COM DISTÂNCIA DE ATÉ CINCO (5) METROS DA RAMAL DE ESGOTO, EXCLUSIVE ESCAVAÇÃO, INCLUSIVE CONEXÕES E FIXAÇÃO DO TUBO COM ENCHIMENTO DO RASGO NA ALVENARIA/CONCRETO COM ARGAMASSA</t>
  </si>
  <si>
    <t>ED-50221</t>
  </si>
  <si>
    <t>CAIXA SIFONADA EM PVC COM GRELHA QUADRADA150 X 150 X 50 MM</t>
  </si>
  <si>
    <t>ED-50007</t>
  </si>
  <si>
    <t>ED-49877</t>
  </si>
  <si>
    <t>CAIXA DE ESGOTO DE INSPEÇÃO/PASSAGEM EM ALVENARIA ( 50X50X40CM), REVESTIMENTO EM ARGAMASSA COM ADITIVO IMPERMEABILIZANTE, COM TAMPA DE CONCRETO, INCLUSIVE ESCAVAÇÃO, REATERRO E TRANSPORTE E RETIRADA DO MATERIAL ESCAVADO (EM CAÇAMBA)</t>
  </si>
  <si>
    <t>ED-50027</t>
  </si>
  <si>
    <t>FORNECIMENTO E ASSENTAMENTO DE TUBO PVC RÍGIDO, ESGOTO, PBV - SÉRIE NORMAL, DN 50 MM (2"), INCLUSIVE CONEXÕES</t>
  </si>
  <si>
    <t>FORNECIMENTO E ASSENTAMENTO DE TUBO PVC RÍGIDO, ESGOTO, PBV - SÉRIE NORMAL, DN 100 MM (4"), INCLUSIVE CONEXÕES</t>
  </si>
  <si>
    <t>ED-50029</t>
  </si>
  <si>
    <t>ED-50018</t>
  </si>
  <si>
    <t>FORNECIMENTO E ASSENTAMENTO DE TUBO PVC RÍGIDO SOLDÁVEL, ÁGUA FRIA, DN 20 MM (1/2"), INCLUSIVE CONEXÕES</t>
  </si>
  <si>
    <t>ED-50020</t>
  </si>
  <si>
    <t>FORNECIMENTO E ASSENTAMENTO DE TUBO PVC RÍGIDO SOLDÁVEL, ÁGUA FRIA, DN 32 MM (1") , INCLUSIVE CONEXÕES</t>
  </si>
  <si>
    <t>ED-49991</t>
  </si>
  <si>
    <t>REGISTRO DE GAVETA, TIPO BASE, ROSCÁVEL 1" (PARA TUBO SOLDÁVEL OU PPR DN 32MM/CPVC DN 28MM), INCLUSIVE ACABAMENTO (PADRÃO MÉDIO) E CANOPLA CROMADOS</t>
  </si>
  <si>
    <t>ED-50287</t>
  </si>
  <si>
    <t>CUBA EM AÇO INOXIDÁVEL DE EMBUTIR, AISI 304, APLICAÇÃO PARA TANQUE (600X600X400MM), ASSENTAMENTO EM BANCADA, INCLUSIVE VÁLVULA DE ESCOAMENTO DE METAL COM ACABAMENTO CROMADO, SIFÃO DE METAL TIPO COPO COM ACABAMENTO CROMADO, FORNECIMENTO E INSTALAÇÃO</t>
  </si>
  <si>
    <t>ED-50278</t>
  </si>
  <si>
    <t>CUBA EM AÇO INOXIDÁVEL DE EMBUTIR, AISI 304, APLICAÇÃO PARA PIA (560X330X115MM), NÚMERO 2, ASSENTAMENTO EM BANCADA, INCLUSIVE VÁLVULA DE ESCOAMENTO DE METAL COM ACABAMENTO CROMADO, SIFÃO DE METAL TIPO COPO COM ACABAMENTO CROMADO, FORNECIMENTO E INSTALAÇÃO</t>
  </si>
  <si>
    <t>ED-50324</t>
  </si>
  <si>
    <t>TORNEIRA METÁLICA PARA PIA, BICA MÓVEL, ABERTURA 1/4 DE VOLTA, ACABAMENTO CROMADO, COM AREJADOR, APLICAÇÃO DE MESA, INCLUSIVE ENGATE FLEXÍVEL METÁLICO, FORNECIMENTO E INSTALAÇÃO</t>
  </si>
  <si>
    <t>ED-22902</t>
  </si>
  <si>
    <t>TORNEIRA METÁLICA PARA TANQUE, ACABAMENTO CROMADO, COM AREJADOR, INCLUSIVE FORNECIMENTO E INSTALAÇÃO</t>
  </si>
  <si>
    <t xml:space="preserve">BANCADA EM GRANITO PRETO SÃO GABRIEL </t>
  </si>
  <si>
    <t>12.3</t>
  </si>
  <si>
    <t>12.4</t>
  </si>
  <si>
    <t>12.5</t>
  </si>
  <si>
    <t>12.6</t>
  </si>
  <si>
    <t>12.7</t>
  </si>
  <si>
    <t>12.8</t>
  </si>
  <si>
    <t>12.9</t>
  </si>
  <si>
    <t>INSTALAÇÕES ELÉTRICAS</t>
  </si>
  <si>
    <t>PONTO DE EMBUTIR PARA UM (1) INTERRUPTOR SIMPLES (10A- 250V), COM PLACA 4"X2" DE UM (1) POSTO, COM ELETRODUTO FLEXÍVEL CORRUGADO, ANTI-CHAMA, DN 25MM (3/4"), EMBUTIDO NA ALVENARIA E CABO DE COBRE FLEXÍVEL, CLASSE 5, ISOLAMENTO TIPO LSHF/ATOX, NÃO HALOGENADO, SEÇÃO 1, 5MM2 (70°C-450/750V), COM DISTÂNCIA DE ATÉ DEZ (10) METROS DO PONTO DE DERIVAÇÃO, INCLUSIVE CAIXA DE LIGAÇÃO, SUPORTE E FIXAÇÃO DO ELETRODUTO COM ENCHIMENTO DO RASGO NA ALVENARIA/CONCRETO COM ARGAMASSA</t>
  </si>
  <si>
    <t>13.1</t>
  </si>
  <si>
    <t>ED-50227</t>
  </si>
  <si>
    <t>PONTO DE EMBUTIR PARA UMA (1) LUMINÁRIA,COM ELETRODUTO DE PVC RÍGIDO ROSCÁVEL, DN 20MM (3/4"), EMBUTIDO NA LAJE E CABO DE COBRE FLEXÍVEL, CLASSE 5, ISOLAMENTO TIPO LSHF/ ATOX, NÃO HALOGENADO, SEÇÃO 1,5MM2 (70°C-450/750V), COM DISTÂNCIA DE ATÉ CINCO (5) METROS DO PONTO DE DERIVAÇÃO, EXCLUSIVE LUMINÁRIA, INCLUSIVE CAIXA DE LIGAÇÃO OCTOGONAL, SUPORTE E FIXAÇÃO DO ELETRODUTO</t>
  </si>
  <si>
    <t>ED-50228</t>
  </si>
  <si>
    <t>ED-50232</t>
  </si>
  <si>
    <t>PONTO DE EMBUTIR PARA UMA (1) TOMADA PADRÃO, TRÊS (3) POLOS (2P+T/10A-250V), COM PLACA 4"X2" DE UM (1) POSTO, COM ELETRODUTO FLEXÍVEL CORRUGADO, ANTI-CHAMA, DN 25MM (3/ 4"), EMBUTIDO NA ALVENARIA E CABO DE COBRE FLEXÍVEL, CLASSE 5, ISOLAMENTO TIPO LSHF/ATOX, NÃO HALOGENADO, SEÇÃO 2,5MM2 (70°C-450/750V), COM DISTÂNCIA DE ATÉ DEZ (10) METROS DO PONTO DE DERIVAÇÃO, INCLUSIVE CAIXA DE LIGAÇÃO, SUPORTE E FIXAÇÃO DO ELETRODUTO COM ENCHIMENTO DO RASGO NA ALVENARIA/CONCRETO COM ARGAMASSA</t>
  </si>
  <si>
    <t>ED-49505</t>
  </si>
  <si>
    <t>QUADRO DE DISTRIBUIÇÃO DE LUZ EM PVC DE EMBUTIR, ATÉ 8 DIVISÕES MODULARES, DIMENSÕES EXTERNAS 160 X 240 X 89 MM</t>
  </si>
  <si>
    <t>ED-49228</t>
  </si>
  <si>
    <t>DISJUNTOR MONOPOLAR TERMOMAGNÉTICO 5KA, DE 10A</t>
  </si>
  <si>
    <t>PLAFON LED AVANT POP EMBUTIR 24 W, 6500 K, QUADRADO 30 x 30 CM, BRANCO</t>
  </si>
  <si>
    <t>PLAFON LED AVANT POP SOBREPOR 24 W, 6500 K, QUADRADO 30 x 30 CM, BRANCO</t>
  </si>
  <si>
    <t>ED-49149</t>
  </si>
  <si>
    <t>CAIXA DE PASSAGEM EM CHAPA DE AÇO, EMBUTIR 230 X 230 X 102 MM</t>
  </si>
  <si>
    <t>ED-48956</t>
  </si>
  <si>
    <t>CABO DE COBRE FLEXÍVEL, CLASSE 5, ISOLAMENTO TIPO LSHF/ ATOX, NÃO HALOGENADO, ANTICHAMA, TERMOPLÁSTICO, UNIPOLAR, SEÇÃO 4 MM2, 70°C, 450/750V</t>
  </si>
  <si>
    <t>FORRO</t>
  </si>
  <si>
    <t>ED-49685</t>
  </si>
  <si>
    <t>FORRO EM PLACA DE GESSO LISO, DIMENSÃO (60X60)CM, COM FIXAÇÃO DO TIPO ARAMADO, EXCLUSIVE PERFIL TABICA, SANCA E MOLDURA, INCLUSIVE ACESSÓRIOS E FIXAÇÃO</t>
  </si>
  <si>
    <t>14.1</t>
  </si>
  <si>
    <t>IMPERMEARMEABILIZAÇÃO</t>
  </si>
  <si>
    <t>ED-50167</t>
  </si>
  <si>
    <t>IMPERMEABILIZAÇÃO COM ARGAMASSA TRAÇO 1:3, E = 2,50 CM COM ADITIVO</t>
  </si>
  <si>
    <t>16.1</t>
  </si>
  <si>
    <t>16.2</t>
  </si>
  <si>
    <t>CORRIMÃO E GUARDA-CORPO</t>
  </si>
  <si>
    <t>17.1</t>
  </si>
  <si>
    <t>LIMPEZA</t>
  </si>
  <si>
    <t>ED-50266</t>
  </si>
  <si>
    <t>LIMPEZA FINAL PARA ENTREGA DA OBRA</t>
  </si>
  <si>
    <t>REVESTIMENTO COM ARGAMASSA EM CAMADA ÚNICA, APLICADO EM PAREDE, TRAÇO 1:3 (CIMENTO E AREIA), ESP. 20MM, APLICAÇÃO MANUAL, INCLUSIVE ARGAMASSA COM PREPARO MECANIZADO, EXCLUSIVE CHAPISCO</t>
  </si>
  <si>
    <t>REVESTIMENTO COM ARGAMASSA EM CAMADA ÚNICA, APLICADO EM TETO, TRAÇO 1:3 (CIMENTO E AREIA), ESP. 20MM, APLICAÇÃO MANUAL, INCLUSIVE ARGAMASSA COM PREPARO MECANIZADO, EXCLUSIVE CHAPISCO</t>
  </si>
  <si>
    <t>REVESTIMENTO COM CERÂMICA APLICADO EM PAREDE, ACABAMENTO ESMALTADO, AMBIENTE INTERNO/EXTERNO, PADRÃO EXTRA, DIMENSÃO DA PEÇA ATÉ 2025 CM2, PEI III, ASSENTAMENTO COM ARGAMASSA INDUSTRIALIZADA, INCLUSIVE REJUNTAMENTO</t>
  </si>
  <si>
    <t>REVESTIMENTO COM PORCELANATO APLICADO EM PISO, ACABAMENTO POLÍDO, AMBIENTE INTERNO, PADRÃO EXTRA, BORDA RETIFICADA, DIMENSÃO DA PEÇA (60X60CM), ASSENTAMENTO COM ARGAMASSA INDUSTRIALIZADA, INCLUSIVE REJUNTAMENTO</t>
  </si>
  <si>
    <t>PISO EM CONCRETO, PREPARADO EM OBRA COM BETONEIRA, FCK 10MPA, SEM ARMAÇÃO, ACABAMENTO RÚSTICO, ESP. 5CM, INCLUSIVE FORNECIMENTO, LANÇAMENTO, ADENSAMENTO, SARRAFEAMENTO, EXCLUSIVE JUNTA DE DILATAÇÃO</t>
  </si>
  <si>
    <t>(7*1*1)+(3*0,6*0,6)+((0,15+6,62+0,15+3,84+0,15-3)*2+(3+3+7-2,8)+(4*(4,35-1)))*0,2 =</t>
  </si>
  <si>
    <t>(7*1*1*1,5)+(3*0,6*0,6*1)+((0,15+6,62+0,15+3,84+0,15-3)*2+(3+3+7-2,8)+(3*(4,35-1)))*0,2*0,4 =</t>
  </si>
  <si>
    <t>(7*1*1*0,9)+80,47*0,10 =</t>
  </si>
  <si>
    <t>((7*2*0,9*6)+(0,15+6,52+0,15+3,84+0,15)*2+(7+3+3+4,35*4))*4*0,395 =</t>
  </si>
  <si>
    <t>(7*4*2,2+3*4*1,3)*0,617 =</t>
  </si>
  <si>
    <t>2*((0,15+6,52+0,15+3,84+0,15)*2)*0,4+(7+3+3+4,35*4)*2*0,4 =</t>
  </si>
  <si>
    <t>(7*4,7/0,15*(0,11+0,37+0,11+0,37+0,05)+(((0,15+6,52+0,15+3,84+0,15)*2)+(7+3+3+4,35*4))/0,15*(0,11+0,37+0,11+0,37+0,05))*0,154 =</t>
  </si>
  <si>
    <t>(4,35/0,15)*3*2*0,395 =</t>
  </si>
  <si>
    <t>((2*((0,9/0,15)+1)*6,52)+(2*(0,15+6,52+0,15+3,84+0,15)+4*4,35)*4+3,60*4*7)*0,617 =</t>
  </si>
  <si>
    <t>(((1,20+0,15+3,84+0,15+6,52+0,15+0,60-1,00)*1,10)+(2*0,8*2,1))*0,15 =</t>
  </si>
  <si>
    <t>(4*1,6+2,2+2*2*2,8)*0,14*0,14 =</t>
  </si>
  <si>
    <t>(3*2,8*(0,15+6,52+0,15+3,84+0,15)-2*2*0,8*2,1-2*2*2*1,6+2*2*1,6)+2*3*4,35*2,8-2*2*0,8*2,1-2*2,6*2,4+2*2*0,6*2,8 =</t>
  </si>
  <si>
    <t>4,35*1,2+4,35*0,6 =</t>
  </si>
  <si>
    <t>((4,35/0,15)*(0,15+6,52+0,15+3,84+0,15+1,2+0,6)+((0,15+6,52+0,15+3,84+0,15+1,2+0,6)/0,15)*4,35)*0,245 =</t>
  </si>
  <si>
    <t>(0,15+6,52+0,15+3,84+0,15+1,2+0,6)*4,35 =</t>
  </si>
  <si>
    <t>(4,35*2+3,84*2)*2,7-3*0,8*2,1-2*1,6 =</t>
  </si>
  <si>
    <t>(0,6+6,52+3,84+1,2)*4,35*0,06+(7-0,15-0,15)*(3-0,15)*0,06 =</t>
  </si>
  <si>
    <t>(0,6+6,52+3,84+1,2)*4,35*0,06+(7-0,15-0,15)*(3-0,15)*0,06+0,9*6,52 =</t>
  </si>
  <si>
    <t>6,52*4,35 =</t>
  </si>
  <si>
    <t>3,84*4,35 =</t>
  </si>
  <si>
    <t>1,2*3,45+3*7 =</t>
  </si>
  <si>
    <t>RODAPÉ EM GRANITO APLICADO EM AMBIENTES INTERNOS.</t>
  </si>
  <si>
    <t>2*2,04*0,19 =</t>
  </si>
  <si>
    <t>7*3+(7+3+3)*0,5 =</t>
  </si>
  <si>
    <t>4 =</t>
  </si>
  <si>
    <t>2 =</t>
  </si>
  <si>
    <t>18 =</t>
  </si>
  <si>
    <t>6 =</t>
  </si>
  <si>
    <t>24 =</t>
  </si>
  <si>
    <t>1 =</t>
  </si>
  <si>
    <t>5 =</t>
  </si>
  <si>
    <t>9 =</t>
  </si>
  <si>
    <t>3 =</t>
  </si>
  <si>
    <t>100 =</t>
  </si>
  <si>
    <t>(6,52+3,84)*4.35 =</t>
  </si>
  <si>
    <t>1,20*4,35 =</t>
  </si>
  <si>
    <t>(3*2,8*(0,15+6,52+0,15+3,84+0,15)-2*2*0,8*2,1-2*2*2*1,6+2*2*1,6)+2*3*4,35*2,8-2*2*0,8*2,1-2*2,6*2,4+2*2*0,6*2,8+4,35*1,2+4,35*0,6 =</t>
  </si>
  <si>
    <t>(2*6,52+2*3,84-2*0,8-2,6-1,6+4,35-0,8+1,2)*1,1 =</t>
  </si>
  <si>
    <t>2*1,20*0,60*1,1 =</t>
  </si>
  <si>
    <t>DEMOLIÇÃO DE CONCRETO SIMPLES</t>
  </si>
  <si>
    <t>RO-41599</t>
  </si>
  <si>
    <t>((4,35+0,15+0,15)*(1,20+0,15+3,84+7,00+0,60)+(3,00*7,00))*0,06 =</t>
  </si>
  <si>
    <t>CONCRETO MAGRO FCK &gt;= 10,0 MPa (EXECUÇAO, INCLUINDO TODOS OS MATERIAIS)</t>
  </si>
  <si>
    <t>RO-42467</t>
  </si>
  <si>
    <t>(6,52-1,20) =</t>
  </si>
  <si>
    <t>((0,60+0,15+6,52+0,15+3,84+0,15)*2)+(4,35*4))*3*0,963 =</t>
  </si>
  <si>
    <t>7*0,5*(0,14+0,14+0,40+0,40)+2*((0,60+0,15+6,52+0,15+3,84+0,15)*2)*0,4+(7+3+3+4,35*4)*2*0,4 =</t>
  </si>
  <si>
    <t>TELHAMENTO COM TELHA DE AÇO/ALUMÍNIO E = 0,5 MM, COM ATÉ 2 ÁGUAS, INCLUSO IÇAMENTO.</t>
  </si>
  <si>
    <t>94213</t>
  </si>
  <si>
    <t>(1,45+0,15+7,47+0,15+1,89)*4,05 =</t>
  </si>
  <si>
    <t>VALOR (R$)</t>
  </si>
  <si>
    <t>-</t>
  </si>
  <si>
    <t>Palma - MG, 17 de agostoo de 2023.</t>
  </si>
  <si>
    <t>TOTAL DAS OBRAS E SERVIÇOS</t>
  </si>
  <si>
    <t>3.6</t>
  </si>
  <si>
    <t>ED-49795</t>
  </si>
  <si>
    <t>FORNECIMENTO DE CONCRETO NÃO ESTRUTURAL, USINADO, COM FCK 15MPA, INCLUSIVE LANÇAMENTO, ADENSAMENTO E ACABAMENTO (FUNDAÇÃO)</t>
  </si>
  <si>
    <t>4.8</t>
  </si>
  <si>
    <t>3.7</t>
  </si>
  <si>
    <t>FORNECIMENTO DE CONCRETO ESTRUTURAL, PREPARADO EM OBRA COM BETONEIRA, COM FCK 20MPA, INCLUSIVE LANÇAMENTO, ADENSAMENTO E ACABAMENTO (FUNDAÇÃO)</t>
  </si>
  <si>
    <t>ED-49786</t>
  </si>
  <si>
    <t>FORNECIMENTO DE CONCRETO ESTRUTURAL, PREPARADO EM OBRA, COM FCK 25MPA, INCLUSIVE LANÇAMENTO, ADENSAMENTO E ACABAMENTO</t>
  </si>
  <si>
    <t>ED-49619</t>
  </si>
  <si>
    <t>7*1,0*1,0*0,50+3*0,60*0,60*0,50+7*0,50*0,14*0,40+2*(0,60+0,15+6,52+0,15+3,84+0,15)*0,14*0,40+(7,00+3,00+3,00+4,35*4)*0,14*0,40 =</t>
  </si>
  <si>
    <r>
      <t>Referêncial de preços:</t>
    </r>
    <r>
      <rPr>
        <sz val="10"/>
        <color theme="1"/>
        <rFont val="Arial Narrow"/>
        <family val="2"/>
      </rPr>
      <t xml:space="preserve">  SINAPI/Julho/2023 e SETOP/Abril/2023- Desonerado</t>
    </r>
  </si>
  <si>
    <r>
      <t xml:space="preserve">Objeto: </t>
    </r>
    <r>
      <rPr>
        <sz val="10"/>
        <color theme="1"/>
        <rFont val="Arial Narrow"/>
        <family val="2"/>
      </rPr>
      <t>Reforma e construção parciais de sede da Câmara Municipal de Palma</t>
    </r>
  </si>
  <si>
    <t>BDI =</t>
  </si>
  <si>
    <t>7*2,8*(0,14+0,30+0,14+0,30)+((2*(0,15+6,52+0,15+3,84+0,15)*2*0,3)+(4,35*4)*2*0,3+(0,15+6,52+0,15+3,84+0,15+1,2+0,6)*4,35 =</t>
  </si>
  <si>
    <t>CORRIMÃO SIMPLES, DIÂMETRO EXTERNO = 1 1/2, EM ALUMÍNIO.</t>
  </si>
  <si>
    <t>99857</t>
  </si>
  <si>
    <t>(7*2,8/0,15*(0,11+0,27+0,11+0,27+0,05)+(((0,15+6,52+0,15+3,84+0,15)*2)+(4,35*4))/0,15*(0,11+0,37+0,11+0,37+0,05))*0,154 =</t>
  </si>
  <si>
    <t>7*2,80*0,14*0,30+2*(0,15+6,52+0,15+3,84+0,15)*0,14*0,30+4*4,35*0,14*0,30+(0,15+6,52+0,15+3,84+0,15+1,2+0,6)*(4,35+0,15+0,15)*0,08 =</t>
  </si>
  <si>
    <t>VIDRO TEMPERADO TRANSPARENTE INCOLOR, ESP. 8 MM, INCLUSIVE FIXAÇÃO E VEDAÇÃO COM GUARNIÇÃO/GAXETA DE BORRACHA NEOPRENE, CAIXILHO/PERFIL, FORNECIMENTO E INSTALAÇÃO</t>
  </si>
  <si>
    <t>10.2</t>
  </si>
  <si>
    <t>10.3</t>
  </si>
  <si>
    <t>10.4</t>
  </si>
  <si>
    <t>11.5</t>
  </si>
  <si>
    <t>11.6</t>
  </si>
  <si>
    <t>11.7</t>
  </si>
  <si>
    <t>11.8</t>
  </si>
  <si>
    <t>11.9</t>
  </si>
  <si>
    <t>11.10</t>
  </si>
  <si>
    <t>11.11</t>
  </si>
  <si>
    <t>11.12</t>
  </si>
  <si>
    <t>11.13</t>
  </si>
  <si>
    <t>11.14</t>
  </si>
  <si>
    <t>11.15</t>
  </si>
  <si>
    <t>15.1</t>
  </si>
  <si>
    <t>15.2</t>
  </si>
  <si>
    <t>15.3</t>
  </si>
  <si>
    <t>15.4</t>
  </si>
  <si>
    <t>15.5</t>
  </si>
  <si>
    <t>15.6</t>
  </si>
  <si>
    <t>((7*1*1)+(3*0,6*0,6))*0,06+(0,15+6,52+0,15+3,84+0,15)*(4,35+0,15+0,15)*0,06+ 3*7*0,06 =</t>
  </si>
  <si>
    <t>2*(7+3+3)*0,5+7*3 =</t>
  </si>
  <si>
    <t>H</t>
  </si>
  <si>
    <t>REMOÇÃO MANUAL DE ESCADA METÁLICA, COM REAPROVEITAMENTO, INCLUSIVE AFASTAMENTO, EXCLUSIVE TRANSPORTE E RETIRADA DA ESCADA REMOVIDA - SERRALHEIRO + AJUDANTE COM ENCARGOS COMPLEMENTARES</t>
  </si>
  <si>
    <t>ED-7830 e ED-50367</t>
  </si>
  <si>
    <t>4,00 =</t>
  </si>
  <si>
    <t>COMP 01</t>
  </si>
  <si>
    <t>ESTRUTURA METÁLICA / COBERTURA / CALHA / RUFO E CONTRA RUFO / CONDUTOR ´PLUVIAL</t>
  </si>
  <si>
    <t>10.5</t>
  </si>
  <si>
    <t>ED-50676</t>
  </si>
  <si>
    <t>RUFO E CONTRARRUFO EM CHAPA GALVANIZADA, ESP. 0,65MM (GSG-24), COM DESENVOLVIMENTO DE 20CM, INCLUSIVE IÇAMENTO MANUAL VERTICAL</t>
  </si>
  <si>
    <t>ED-50381 e                    ED-50367</t>
  </si>
  <si>
    <t>0,92*(0,02+0,25)*16+0,92*0,16*17+0,92*0,94 =</t>
  </si>
  <si>
    <t>2*((0,02+0,25)*16+0,16*17+0,94) =</t>
  </si>
  <si>
    <t>4*0,84*0,15+1,64*0,15+2,64*0,15+5,50*0,15 =</t>
  </si>
  <si>
    <t>2*2*1,6+4*0,8*2,1+1,6*2,1+2,6*2,4 =</t>
  </si>
  <si>
    <t>4,65*(1,60+0,15+7,47+0,15+1,89+0,15+1,2)+7,00*3,00 =</t>
  </si>
  <si>
    <t>(2*2,8*(0,15+6,52+0,15+3,84+0,15)-2*0,8*2,1-2*2*1,6+2*1,6)+3*4,35*2,8-2*0,8*2,1-2,6*2,4+2*0,6*2,8+2*1,00*(0,15+6,52+0,15+3,84+0,15)+*2*4,35*1,00 =</t>
  </si>
  <si>
    <t>(3*2,8*(0,15+6,52+0,15+3,84+0,15)-2*2*0,8*2,1-2*2*2*1,6+2*2*1,6)+2*3*4,35*2,8-2*2*0,8*2,1-2*2,6*2,4+2*2*0,6*2,8+((2*1*(0,15+6,52+0,15+3,84+0,15))+(2*1*4,35))*2 =</t>
  </si>
  <si>
    <t>FORNECIMENTO DE ESTRUTURA METÁLICA E ENGRADAMENTO METÁLICO PARA TELHADO, SOBRE LAJE, COBERTURA EM TELHA DE AÇO, EXCLUSIVE TELHA, INCLUSIVE PILARETES METÁLICOS, FABRICAÇÃO, TRANSPORTE, MONTAGEM, APLICAÇÃO DE FUNDO PREPARADOR ANTICORROSIVO, UMA (1) DEMÃO E PINTURA ESMALTE, DUAS (2) DEMÃOS - SOBRE LAJE.</t>
  </si>
  <si>
    <t>(7*3+(7+3+3)*0,5)+((1,45+0,15+7,47+0,15+1,89)*4,05) =</t>
  </si>
  <si>
    <t>7+1,45+0,15+7,47+0,15+1,89 =</t>
  </si>
  <si>
    <t>2,80+0,50+1,00+6,00+1,50+3,30+3,00+6,00 =</t>
  </si>
  <si>
    <t>7,00+2*3,00+1,45+0,15+7,47+0,15+1,89+2*4,35 =</t>
  </si>
  <si>
    <t>(3*2,8*(0,15+6,52+0,15+3,84+0,15)-2*2*0,8*2,1-2*2*2*1,6+2*2*1,6)+2*3*4,35*2,8-2*2*0,8*2,1-2*2,6*2,4+2*2*0,6*2,8++2*1,00*(0,15+6,52+0,15+3,84+0,15)+*2*4,35*1,00 =</t>
  </si>
  <si>
    <t>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</si>
</sst>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R$&quot;\ #,##0.00;[Red]\-&quot;R$&quot;\ #,##0.00"/>
    <numFmt numFmtId="44" formatCode="_-&quot;R$&quot;\ * #,##0.00_-;\-&quot;R$&quot;\ * #,##0.00_-;_-&quot;R$&quot;\ * &quot;-&quot;??_-;_-@_-"/>
    <numFmt numFmtId="43" formatCode="_-* #,##0.00_-;\-* #,##0.00_-;_-* &quot;-&quot;??_-;_-@_-"/>
    <numFmt numFmtId="164" formatCode="&quot;R$&quot;\ #,##0.00"/>
  </numFmts>
  <fonts count="22" x14ac:knownFonts="1">
    <font>
      <sz val="11"/>
      <color theme="1"/>
      <name val="Calibri"/>
      <family val="2"/>
      <scheme val="minor"/>
    </font>
    <font>
      <sz val="11"/>
      <color theme="1"/>
      <name val="Calibri"/>
      <family val="2"/>
      <scheme val="minor"/>
    </font>
    <font>
      <sz val="12"/>
      <color theme="1"/>
      <name val="Arial Narrow"/>
      <family val="2"/>
    </font>
    <font>
      <b/>
      <sz val="12"/>
      <color theme="1"/>
      <name val="Arial Narrow"/>
      <family val="2"/>
    </font>
    <font>
      <sz val="10"/>
      <color theme="1"/>
      <name val="Arial Narrow"/>
      <family val="2"/>
    </font>
    <font>
      <sz val="11"/>
      <color theme="1"/>
      <name val="Arial Narrow"/>
      <family val="2"/>
    </font>
    <font>
      <sz val="8"/>
      <color theme="1"/>
      <name val="Arial Narrow"/>
      <family val="2"/>
    </font>
    <font>
      <b/>
      <sz val="10"/>
      <color theme="1"/>
      <name val="Arial Narrow"/>
      <family val="2"/>
    </font>
    <font>
      <b/>
      <sz val="8"/>
      <color theme="1"/>
      <name val="Arial Narrow"/>
      <family val="2"/>
    </font>
    <font>
      <sz val="8"/>
      <name val="Arial Narrow"/>
      <family val="2"/>
    </font>
    <font>
      <b/>
      <sz val="12"/>
      <name val="Arial Narrow"/>
      <family val="2"/>
    </font>
    <font>
      <sz val="8"/>
      <name val="Calibri"/>
      <family val="2"/>
      <scheme val="minor"/>
    </font>
    <font>
      <b/>
      <sz val="11"/>
      <name val="Arial Narrow"/>
      <family val="2"/>
    </font>
    <font>
      <sz val="9"/>
      <name val="Arial"/>
      <family val="2"/>
    </font>
    <font>
      <vertAlign val="superscript"/>
      <sz val="8"/>
      <name val="Arial Narrow"/>
      <family val="2"/>
    </font>
    <font>
      <b/>
      <sz val="10"/>
      <name val="Arial Narrow"/>
      <family val="2"/>
    </font>
    <font>
      <sz val="10"/>
      <name val="Arial Narrow"/>
      <family val="2"/>
    </font>
    <font>
      <sz val="10"/>
      <color indexed="12"/>
      <name val="Arial Narrow"/>
      <family val="2"/>
    </font>
    <font>
      <b/>
      <sz val="10"/>
      <color indexed="8"/>
      <name val="Arial Narrow"/>
      <family val="2"/>
    </font>
    <font>
      <b/>
      <sz val="10"/>
      <color rgb="FF0000FF"/>
      <name val="Arial Narrow"/>
      <family val="2"/>
    </font>
    <font>
      <b/>
      <sz val="10"/>
      <color indexed="12"/>
      <name val="Arial Narrow"/>
      <family val="2"/>
    </font>
    <font>
      <b/>
      <sz val="14"/>
      <name val="Arial Narrow"/>
      <family val="2"/>
    </font>
  </fonts>
  <fills count="10">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3" fillId="0" borderId="0"/>
  </cellStyleXfs>
  <cellXfs count="166">
    <xf numFmtId="0" fontId="0" fillId="0" borderId="0" xfId="0"/>
    <xf numFmtId="0" fontId="6" fillId="0" borderId="1" xfId="0" applyFont="1" applyBorder="1" applyAlignment="1">
      <alignment horizontal="center" vertical="center"/>
    </xf>
    <xf numFmtId="0" fontId="9" fillId="0" borderId="1" xfId="0" applyFont="1" applyBorder="1" applyAlignment="1">
      <alignment horizontal="justify" vertical="center" wrapText="1"/>
    </xf>
    <xf numFmtId="2" fontId="9" fillId="4" borderId="1" xfId="0" applyNumberFormat="1" applyFont="1" applyFill="1" applyBorder="1" applyAlignment="1">
      <alignment horizontal="center" vertical="center" wrapText="1"/>
    </xf>
    <xf numFmtId="0" fontId="6" fillId="0" borderId="0" xfId="0" applyFont="1" applyAlignment="1">
      <alignment vertical="center"/>
    </xf>
    <xf numFmtId="4" fontId="9" fillId="4"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horizontal="justify" vertical="center"/>
    </xf>
    <xf numFmtId="0" fontId="6" fillId="0" borderId="0" xfId="0" applyFont="1" applyAlignment="1">
      <alignment horizontal="center" vertical="center" wrapText="1"/>
    </xf>
    <xf numFmtId="2" fontId="8" fillId="2" borderId="1" xfId="0" applyNumberFormat="1" applyFont="1" applyFill="1" applyBorder="1" applyAlignment="1">
      <alignment horizontal="center" vertical="center" wrapText="1"/>
    </xf>
    <xf numFmtId="0" fontId="5" fillId="0" borderId="0" xfId="0" applyFont="1" applyAlignment="1">
      <alignment vertical="center" wrapText="1"/>
    </xf>
    <xf numFmtId="0" fontId="6" fillId="0" borderId="0" xfId="0" applyFont="1" applyAlignment="1">
      <alignment vertical="center" wrapText="1"/>
    </xf>
    <xf numFmtId="0" fontId="8" fillId="3" borderId="1" xfId="0"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9" fontId="6" fillId="0" borderId="0" xfId="0" applyNumberFormat="1" applyFont="1" applyAlignment="1">
      <alignment horizontal="center" vertical="center" wrapText="1"/>
    </xf>
    <xf numFmtId="0" fontId="6" fillId="0" borderId="0" xfId="0" applyFont="1" applyAlignment="1">
      <alignment horizontal="justify" vertical="center" wrapText="1"/>
    </xf>
    <xf numFmtId="2" fontId="6" fillId="0" borderId="0" xfId="0" applyNumberFormat="1" applyFont="1" applyAlignment="1">
      <alignment vertical="center" wrapText="1"/>
    </xf>
    <xf numFmtId="49" fontId="5" fillId="0" borderId="0" xfId="0" applyNumberFormat="1" applyFont="1" applyAlignment="1">
      <alignment vertical="center" wrapText="1"/>
    </xf>
    <xf numFmtId="2" fontId="5" fillId="0" borderId="0" xfId="0" applyNumberFormat="1" applyFont="1" applyAlignment="1">
      <alignment vertical="center" wrapText="1"/>
    </xf>
    <xf numFmtId="0" fontId="6" fillId="0" borderId="0" xfId="0" applyFont="1"/>
    <xf numFmtId="0" fontId="5" fillId="0" borderId="0" xfId="0" applyFont="1" applyAlignment="1">
      <alignment vertical="center"/>
    </xf>
    <xf numFmtId="0" fontId="5" fillId="0" borderId="0" xfId="0" applyFont="1"/>
    <xf numFmtId="4" fontId="9"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0" fontId="6" fillId="0" borderId="0" xfId="0" applyFont="1" applyAlignment="1">
      <alignment wrapText="1"/>
    </xf>
    <xf numFmtId="0" fontId="6" fillId="0" borderId="1" xfId="0" applyFont="1" applyBorder="1" applyAlignment="1">
      <alignment wrapText="1"/>
    </xf>
    <xf numFmtId="164" fontId="8" fillId="5" borderId="1" xfId="1" applyNumberFormat="1" applyFont="1" applyFill="1" applyBorder="1" applyAlignment="1">
      <alignment horizontal="center" vertical="center" wrapText="1"/>
    </xf>
    <xf numFmtId="0" fontId="8" fillId="3" borderId="1" xfId="0" applyFont="1" applyFill="1" applyBorder="1" applyAlignment="1">
      <alignment horizontal="left" vertical="center" wrapText="1"/>
    </xf>
    <xf numFmtId="0" fontId="2" fillId="0" borderId="0" xfId="0" applyFont="1" applyAlignment="1">
      <alignment horizontal="right" vertical="center"/>
    </xf>
    <xf numFmtId="2" fontId="9" fillId="0" borderId="4" xfId="0" applyNumberFormat="1" applyFont="1" applyBorder="1" applyAlignment="1">
      <alignment horizontal="center" vertical="center" wrapText="1"/>
    </xf>
    <xf numFmtId="2" fontId="9" fillId="0" borderId="2" xfId="0" applyNumberFormat="1" applyFont="1" applyBorder="1" applyAlignment="1">
      <alignment vertical="center" wrapText="1"/>
    </xf>
    <xf numFmtId="2" fontId="9" fillId="0" borderId="4" xfId="0" applyNumberFormat="1" applyFont="1" applyBorder="1" applyAlignment="1">
      <alignment vertical="center" wrapText="1"/>
    </xf>
    <xf numFmtId="0" fontId="0" fillId="0" borderId="0" xfId="0" applyAlignment="1">
      <alignment horizontal="left"/>
    </xf>
    <xf numFmtId="0" fontId="6" fillId="0" borderId="0" xfId="0" applyFont="1" applyAlignment="1">
      <alignment horizontal="center" vertical="center"/>
    </xf>
    <xf numFmtId="49" fontId="9" fillId="0" borderId="0" xfId="0" applyNumberFormat="1" applyFont="1" applyAlignment="1">
      <alignment horizontal="center" vertical="center" wrapText="1"/>
    </xf>
    <xf numFmtId="0" fontId="9" fillId="0" borderId="0" xfId="0" applyFont="1" applyAlignment="1">
      <alignment horizontal="justify" vertical="center"/>
    </xf>
    <xf numFmtId="2" fontId="9" fillId="0" borderId="0" xfId="0" applyNumberFormat="1" applyFont="1" applyAlignment="1">
      <alignment vertical="center" wrapText="1"/>
    </xf>
    <xf numFmtId="2" fontId="9" fillId="0" borderId="0" xfId="0" applyNumberFormat="1" applyFont="1" applyAlignment="1">
      <alignment horizontal="left" vertical="center" wrapText="1"/>
    </xf>
    <xf numFmtId="8" fontId="0" fillId="0" borderId="0" xfId="0" applyNumberFormat="1"/>
    <xf numFmtId="0" fontId="8" fillId="5" borderId="6" xfId="0" applyFont="1" applyFill="1" applyBorder="1" applyAlignment="1">
      <alignment horizontal="center" vertical="center" wrapText="1"/>
    </xf>
    <xf numFmtId="49" fontId="8" fillId="5" borderId="6" xfId="0" applyNumberFormat="1" applyFont="1" applyFill="1" applyBorder="1" applyAlignment="1">
      <alignment horizontal="center" vertical="center" wrapText="1"/>
    </xf>
    <xf numFmtId="0" fontId="8" fillId="5" borderId="6" xfId="0" applyFont="1" applyFill="1" applyBorder="1" applyAlignment="1">
      <alignment horizontal="left" vertical="center" wrapText="1"/>
    </xf>
    <xf numFmtId="2" fontId="8" fillId="5" borderId="6" xfId="0" applyNumberFormat="1" applyFont="1" applyFill="1" applyBorder="1" applyAlignment="1">
      <alignment horizontal="center" vertical="center" wrapText="1"/>
    </xf>
    <xf numFmtId="2" fontId="8" fillId="5" borderId="1" xfId="0" applyNumberFormat="1" applyFont="1" applyFill="1" applyBorder="1" applyAlignment="1">
      <alignment horizontal="center" vertical="center" wrapText="1"/>
    </xf>
    <xf numFmtId="164" fontId="8" fillId="5" borderId="6"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0" xfId="0" applyFont="1" applyFill="1" applyAlignment="1">
      <alignment vertical="center"/>
    </xf>
    <xf numFmtId="0" fontId="8" fillId="6" borderId="1" xfId="0" applyFont="1" applyFill="1" applyBorder="1" applyAlignment="1">
      <alignment horizontal="center" vertical="center" wrapText="1"/>
    </xf>
    <xf numFmtId="49" fontId="8" fillId="6" borderId="1" xfId="0" applyNumberFormat="1" applyFont="1" applyFill="1" applyBorder="1" applyAlignment="1">
      <alignment horizontal="center" vertical="center" wrapText="1"/>
    </xf>
    <xf numFmtId="0" fontId="8" fillId="6"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2" fontId="6" fillId="6" borderId="1" xfId="0" applyNumberFormat="1" applyFont="1" applyFill="1" applyBorder="1" applyAlignment="1">
      <alignment horizontal="center" vertical="center" wrapText="1"/>
    </xf>
    <xf numFmtId="2" fontId="7" fillId="6" borderId="2" xfId="0" applyNumberFormat="1" applyFont="1" applyFill="1" applyBorder="1" applyAlignment="1">
      <alignment horizontal="right" vertical="top" wrapText="1"/>
    </xf>
    <xf numFmtId="10" fontId="4" fillId="6" borderId="4" xfId="0" applyNumberFormat="1" applyFont="1" applyFill="1" applyBorder="1" applyAlignment="1">
      <alignment horizontal="center" vertical="top" wrapText="1"/>
    </xf>
    <xf numFmtId="49" fontId="6" fillId="4" borderId="1"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0" borderId="11" xfId="0" applyFont="1" applyBorder="1" applyAlignment="1">
      <alignment vertical="center" wrapText="1"/>
    </xf>
    <xf numFmtId="0" fontId="6" fillId="0" borderId="9" xfId="0" applyFont="1" applyBorder="1" applyAlignment="1">
      <alignment vertical="center" wrapText="1"/>
    </xf>
    <xf numFmtId="2" fontId="15" fillId="8" borderId="1" xfId="4" applyNumberFormat="1" applyFont="1" applyFill="1" applyBorder="1" applyAlignment="1">
      <alignment horizontal="center" vertical="center"/>
    </xf>
    <xf numFmtId="2" fontId="15" fillId="8" borderId="1" xfId="4" applyNumberFormat="1" applyFont="1" applyFill="1" applyBorder="1" applyAlignment="1">
      <alignment horizontal="left" vertical="center"/>
    </xf>
    <xf numFmtId="2" fontId="15" fillId="8" borderId="1" xfId="4" applyNumberFormat="1" applyFont="1" applyFill="1" applyBorder="1" applyAlignment="1">
      <alignment horizontal="centerContinuous"/>
    </xf>
    <xf numFmtId="0" fontId="15" fillId="8" borderId="1" xfId="0" applyFont="1" applyFill="1" applyBorder="1" applyAlignment="1">
      <alignment horizontal="center" vertical="center"/>
    </xf>
    <xf numFmtId="164" fontId="15" fillId="8" borderId="1" xfId="4" applyNumberFormat="1" applyFont="1" applyFill="1" applyBorder="1" applyAlignment="1">
      <alignment horizontal="center" vertical="center" wrapText="1"/>
    </xf>
    <xf numFmtId="10" fontId="15" fillId="8" borderId="1" xfId="4" applyNumberFormat="1" applyFont="1" applyFill="1" applyBorder="1" applyAlignment="1">
      <alignment horizontal="center" vertical="center" wrapText="1"/>
    </xf>
    <xf numFmtId="164" fontId="6" fillId="0" borderId="0" xfId="0" applyNumberFormat="1" applyFont="1" applyAlignment="1">
      <alignment vertical="center" wrapText="1"/>
    </xf>
    <xf numFmtId="2" fontId="15" fillId="3" borderId="1" xfId="4" applyNumberFormat="1" applyFont="1" applyFill="1" applyBorder="1" applyAlignment="1">
      <alignment horizontal="centerContinuous" wrapText="1"/>
    </xf>
    <xf numFmtId="2" fontId="15" fillId="3" borderId="1" xfId="4" applyNumberFormat="1" applyFont="1" applyFill="1" applyBorder="1" applyAlignment="1">
      <alignment horizontal="centerContinuous" vertical="center"/>
    </xf>
    <xf numFmtId="10" fontId="16" fillId="4" borderId="1" xfId="4" applyNumberFormat="1" applyFont="1" applyFill="1" applyBorder="1" applyAlignment="1">
      <alignment horizontal="center" vertical="center" wrapText="1"/>
    </xf>
    <xf numFmtId="2" fontId="4" fillId="6" borderId="2" xfId="0" applyNumberFormat="1" applyFont="1" applyFill="1" applyBorder="1" applyAlignment="1">
      <alignment horizontal="right" vertical="top"/>
    </xf>
    <xf numFmtId="10" fontId="4" fillId="6" borderId="4" xfId="0" applyNumberFormat="1" applyFont="1" applyFill="1" applyBorder="1" applyAlignment="1">
      <alignment horizontal="left" vertical="center"/>
    </xf>
    <xf numFmtId="4" fontId="5" fillId="0" borderId="0" xfId="0" applyNumberFormat="1" applyFont="1"/>
    <xf numFmtId="164" fontId="4" fillId="9" borderId="1" xfId="1" applyNumberFormat="1" applyFont="1" applyFill="1" applyBorder="1" applyAlignment="1">
      <alignment horizontal="center" vertical="center"/>
    </xf>
    <xf numFmtId="10" fontId="17" fillId="0" borderId="1" xfId="3" applyNumberFormat="1" applyFont="1" applyBorder="1" applyAlignment="1" applyProtection="1">
      <alignment horizontal="center" vertical="center"/>
      <protection locked="0"/>
    </xf>
    <xf numFmtId="4" fontId="16" fillId="0" borderId="1" xfId="1" applyNumberFormat="1" applyFont="1" applyFill="1" applyBorder="1" applyAlignment="1" applyProtection="1">
      <alignment horizontal="right" vertical="center"/>
    </xf>
    <xf numFmtId="164" fontId="7" fillId="5" borderId="1" xfId="1" applyNumberFormat="1" applyFont="1" applyFill="1" applyBorder="1" applyAlignment="1">
      <alignment horizontal="center" vertical="center"/>
    </xf>
    <xf numFmtId="10" fontId="18" fillId="5" borderId="1" xfId="4" applyNumberFormat="1" applyFont="1" applyFill="1" applyBorder="1" applyAlignment="1">
      <alignment horizontal="center" vertical="center"/>
    </xf>
    <xf numFmtId="10" fontId="19" fillId="5" borderId="1" xfId="3" applyNumberFormat="1" applyFont="1" applyFill="1" applyBorder="1" applyAlignment="1" applyProtection="1">
      <alignment horizontal="center" vertical="center"/>
      <protection locked="0"/>
    </xf>
    <xf numFmtId="4" fontId="15" fillId="5" borderId="1" xfId="1" applyNumberFormat="1" applyFont="1" applyFill="1" applyBorder="1" applyAlignment="1" applyProtection="1">
      <alignment horizontal="right" vertical="center"/>
    </xf>
    <xf numFmtId="10" fontId="20" fillId="5" borderId="1" xfId="3" applyNumberFormat="1" applyFont="1" applyFill="1" applyBorder="1" applyAlignment="1" applyProtection="1">
      <alignment horizontal="center" vertical="center"/>
      <protection locked="0"/>
    </xf>
    <xf numFmtId="164" fontId="18" fillId="5" borderId="1" xfId="4" applyNumberFormat="1" applyFont="1" applyFill="1" applyBorder="1" applyAlignment="1">
      <alignment horizontal="center" vertical="center"/>
    </xf>
    <xf numFmtId="10" fontId="7" fillId="5" borderId="1" xfId="0" applyNumberFormat="1" applyFont="1" applyFill="1" applyBorder="1" applyAlignment="1">
      <alignment vertical="center"/>
    </xf>
    <xf numFmtId="10" fontId="19" fillId="5" borderId="1" xfId="0" applyNumberFormat="1" applyFont="1" applyFill="1" applyBorder="1" applyAlignment="1">
      <alignment horizontal="center" vertical="center"/>
    </xf>
    <xf numFmtId="4" fontId="7" fillId="5" borderId="1" xfId="1" applyNumberFormat="1" applyFont="1" applyFill="1" applyBorder="1" applyAlignment="1">
      <alignment horizontal="center" vertical="center"/>
    </xf>
    <xf numFmtId="0" fontId="4" fillId="9" borderId="1" xfId="0" applyFont="1" applyFill="1" applyBorder="1" applyAlignment="1">
      <alignment horizontal="center" vertical="center"/>
    </xf>
    <xf numFmtId="0" fontId="4" fillId="9" borderId="1" xfId="0" applyFont="1" applyFill="1" applyBorder="1" applyAlignment="1">
      <alignment horizontal="left"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6" fillId="0" borderId="3" xfId="0" applyFont="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7" fillId="6" borderId="2" xfId="0" applyFont="1" applyFill="1" applyBorder="1" applyAlignment="1">
      <alignment horizontal="left" vertical="center"/>
    </xf>
    <xf numFmtId="0" fontId="7" fillId="6" borderId="3" xfId="0" applyFont="1" applyFill="1" applyBorder="1" applyAlignment="1">
      <alignment horizontal="left" vertical="center"/>
    </xf>
    <xf numFmtId="0" fontId="7" fillId="6" borderId="4" xfId="0" applyFont="1" applyFill="1" applyBorder="1" applyAlignment="1">
      <alignment horizontal="left" vertical="center"/>
    </xf>
    <xf numFmtId="0" fontId="7" fillId="6" borderId="2" xfId="0" applyFont="1" applyFill="1" applyBorder="1" applyAlignment="1">
      <alignment horizontal="left" vertical="top" wrapText="1"/>
    </xf>
    <xf numFmtId="0" fontId="7" fillId="6" borderId="3" xfId="0" applyFont="1" applyFill="1" applyBorder="1" applyAlignment="1">
      <alignment horizontal="left" vertical="top" wrapText="1"/>
    </xf>
    <xf numFmtId="0" fontId="7" fillId="6" borderId="4" xfId="0" applyFont="1" applyFill="1" applyBorder="1" applyAlignment="1">
      <alignment horizontal="left" vertical="top" wrapText="1"/>
    </xf>
    <xf numFmtId="0" fontId="7" fillId="6" borderId="2" xfId="0" applyFont="1" applyFill="1" applyBorder="1" applyAlignment="1">
      <alignment horizontal="center" vertical="top" wrapText="1"/>
    </xf>
    <xf numFmtId="0" fontId="7" fillId="6" borderId="4" xfId="0" applyFont="1" applyFill="1" applyBorder="1" applyAlignment="1">
      <alignment horizontal="center" vertical="top" wrapText="1"/>
    </xf>
    <xf numFmtId="0" fontId="4" fillId="0" borderId="0" xfId="0" applyFont="1" applyAlignment="1">
      <alignment horizontal="center" vertical="center" wrapText="1"/>
    </xf>
    <xf numFmtId="2" fontId="8" fillId="2" borderId="5"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4" fillId="0" borderId="0" xfId="0" applyFont="1" applyAlignment="1">
      <alignment horizontal="right" vertical="center" wrapText="1"/>
    </xf>
    <xf numFmtId="0" fontId="6" fillId="0" borderId="0" xfId="0" applyFont="1" applyAlignment="1">
      <alignment horizontal="center" vertical="center" wrapText="1"/>
    </xf>
    <xf numFmtId="0" fontId="2" fillId="0" borderId="0" xfId="0" applyFont="1" applyAlignment="1">
      <alignment horizontal="center" vertical="center" wrapText="1"/>
    </xf>
    <xf numFmtId="0" fontId="4" fillId="0" borderId="3" xfId="0" applyFont="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2" fontId="8" fillId="2" borderId="2" xfId="0" applyNumberFormat="1" applyFont="1" applyFill="1" applyBorder="1" applyAlignment="1">
      <alignment horizontal="center" vertical="center" wrapText="1"/>
    </xf>
    <xf numFmtId="2" fontId="8" fillId="2" borderId="4" xfId="0" applyNumberFormat="1" applyFont="1" applyFill="1" applyBorder="1" applyAlignment="1">
      <alignment horizontal="center" vertical="center" wrapText="1"/>
    </xf>
    <xf numFmtId="2" fontId="9" fillId="0" borderId="3" xfId="0" applyNumberFormat="1" applyFont="1" applyBorder="1" applyAlignment="1">
      <alignment horizontal="left" vertical="center" wrapText="1"/>
    </xf>
    <xf numFmtId="2" fontId="9" fillId="3" borderId="2" xfId="0" applyNumberFormat="1" applyFont="1" applyFill="1" applyBorder="1" applyAlignment="1">
      <alignment horizontal="center" vertical="center" wrapText="1"/>
    </xf>
    <xf numFmtId="2" fontId="9" fillId="3" borderId="3" xfId="0" applyNumberFormat="1" applyFont="1" applyFill="1" applyBorder="1" applyAlignment="1">
      <alignment horizontal="center" vertical="center" wrapText="1"/>
    </xf>
    <xf numFmtId="2" fontId="9" fillId="3" borderId="4" xfId="0" applyNumberFormat="1" applyFont="1" applyFill="1" applyBorder="1" applyAlignment="1">
      <alignment horizontal="center" vertical="center" wrapText="1"/>
    </xf>
    <xf numFmtId="2" fontId="9" fillId="0" borderId="3" xfId="0" applyNumberFormat="1" applyFont="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49" fontId="8" fillId="3" borderId="5"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2" xfId="0" applyFont="1" applyFill="1" applyBorder="1" applyAlignment="1">
      <alignment horizontal="center" vertical="center" wrapText="1"/>
    </xf>
    <xf numFmtId="2" fontId="9" fillId="6" borderId="2" xfId="0" applyNumberFormat="1" applyFont="1" applyFill="1" applyBorder="1" applyAlignment="1">
      <alignment horizontal="center" vertical="center" wrapText="1"/>
    </xf>
    <xf numFmtId="2" fontId="9" fillId="6" borderId="3" xfId="0" applyNumberFormat="1" applyFont="1" applyFill="1" applyBorder="1" applyAlignment="1">
      <alignment horizontal="center" vertical="center" wrapText="1"/>
    </xf>
    <xf numFmtId="2" fontId="9" fillId="6" borderId="4"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0" borderId="8" xfId="0" applyFont="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2" fillId="0" borderId="0" xfId="0" applyFont="1" applyAlignment="1">
      <alignment horizontal="center" vertical="center"/>
    </xf>
    <xf numFmtId="2" fontId="15" fillId="3" borderId="1" xfId="4" applyNumberFormat="1" applyFont="1" applyFill="1" applyBorder="1" applyAlignment="1">
      <alignment horizontal="center" vertical="center"/>
    </xf>
    <xf numFmtId="2" fontId="15" fillId="3" borderId="1" xfId="4" applyNumberFormat="1" applyFont="1" applyFill="1" applyBorder="1" applyAlignment="1" applyProtection="1">
      <alignment horizontal="center"/>
      <protection locked="0"/>
    </xf>
    <xf numFmtId="43" fontId="15" fillId="3" borderId="1" xfId="2" applyFont="1" applyFill="1" applyBorder="1" applyAlignment="1">
      <alignment horizontal="center" vertical="center"/>
    </xf>
    <xf numFmtId="0" fontId="15" fillId="3" borderId="1" xfId="0" applyFont="1" applyFill="1" applyBorder="1" applyAlignment="1">
      <alignment horizontal="center" vertical="center" wrapText="1"/>
    </xf>
    <xf numFmtId="0" fontId="4" fillId="6" borderId="1" xfId="0" applyFont="1" applyFill="1" applyBorder="1" applyAlignment="1">
      <alignment horizontal="left" vertical="top"/>
    </xf>
    <xf numFmtId="0" fontId="4" fillId="6" borderId="2" xfId="0" applyFont="1" applyFill="1" applyBorder="1" applyAlignment="1">
      <alignment horizontal="left" vertical="top"/>
    </xf>
    <xf numFmtId="0" fontId="4" fillId="6" borderId="3" xfId="0" applyFont="1" applyFill="1" applyBorder="1" applyAlignment="1">
      <alignment horizontal="left" vertical="top"/>
    </xf>
    <xf numFmtId="0" fontId="4" fillId="6" borderId="4" xfId="0" applyFont="1" applyFill="1" applyBorder="1" applyAlignment="1">
      <alignment horizontal="left" vertical="top"/>
    </xf>
    <xf numFmtId="0" fontId="7" fillId="0" borderId="0" xfId="0" applyFont="1" applyAlignment="1">
      <alignment horizontal="center" vertical="center"/>
    </xf>
    <xf numFmtId="0" fontId="7" fillId="0" borderId="13" xfId="0" applyFont="1" applyBorder="1" applyAlignment="1">
      <alignment horizontal="center" vertical="center"/>
    </xf>
    <xf numFmtId="0" fontId="4" fillId="6" borderId="1" xfId="0" applyFont="1" applyFill="1" applyBorder="1" applyAlignment="1">
      <alignment horizontal="left" vertical="top" wrapText="1"/>
    </xf>
    <xf numFmtId="0" fontId="21" fillId="3" borderId="1" xfId="0" applyFont="1" applyFill="1" applyBorder="1" applyAlignment="1">
      <alignment horizontal="center" vertical="center"/>
    </xf>
    <xf numFmtId="0" fontId="2" fillId="0" borderId="0" xfId="0" applyFont="1" applyAlignment="1">
      <alignment horizontal="center" wrapText="1"/>
    </xf>
    <xf numFmtId="0" fontId="4" fillId="0" borderId="0" xfId="0" applyFont="1" applyAlignment="1">
      <alignment horizontal="center" vertical="center"/>
    </xf>
    <xf numFmtId="2" fontId="15" fillId="5" borderId="1" xfId="4" applyNumberFormat="1" applyFont="1" applyFill="1" applyBorder="1" applyAlignment="1">
      <alignment horizontal="center" vertical="center"/>
    </xf>
    <xf numFmtId="0" fontId="5" fillId="0" borderId="0" xfId="0" applyFont="1" applyAlignment="1">
      <alignment horizontal="right" vertical="center"/>
    </xf>
    <xf numFmtId="2" fontId="15" fillId="3" borderId="1" xfId="4" applyNumberFormat="1" applyFont="1" applyFill="1" applyBorder="1" applyAlignment="1">
      <alignment horizontal="center" vertical="center" wrapText="1"/>
    </xf>
    <xf numFmtId="2" fontId="10" fillId="5" borderId="2" xfId="4" applyNumberFormat="1" applyFont="1" applyFill="1" applyBorder="1" applyAlignment="1">
      <alignment horizontal="center" vertical="center"/>
    </xf>
    <xf numFmtId="2" fontId="10" fillId="5" borderId="3" xfId="4" applyNumberFormat="1" applyFont="1" applyFill="1" applyBorder="1" applyAlignment="1">
      <alignment horizontal="center" vertical="center"/>
    </xf>
    <xf numFmtId="0" fontId="6" fillId="0" borderId="0" xfId="0" applyFont="1" applyAlignment="1">
      <alignment horizontal="center"/>
    </xf>
    <xf numFmtId="164" fontId="19" fillId="5" borderId="2" xfId="1" applyNumberFormat="1" applyFont="1" applyFill="1" applyBorder="1" applyAlignment="1">
      <alignment horizontal="center" vertical="center"/>
    </xf>
    <xf numFmtId="164" fontId="19" fillId="5" borderId="4" xfId="1" applyNumberFormat="1" applyFont="1" applyFill="1" applyBorder="1" applyAlignment="1">
      <alignment horizontal="center" vertical="center"/>
    </xf>
    <xf numFmtId="164" fontId="3" fillId="5" borderId="2" xfId="1" applyNumberFormat="1" applyFont="1" applyFill="1" applyBorder="1" applyAlignment="1">
      <alignment horizontal="center" vertical="center"/>
    </xf>
    <xf numFmtId="164" fontId="3" fillId="5" borderId="4" xfId="1" applyNumberFormat="1" applyFont="1" applyFill="1" applyBorder="1" applyAlignment="1">
      <alignment horizontal="center" vertical="center"/>
    </xf>
  </cellXfs>
  <cellStyles count="5">
    <cellStyle name="Moeda" xfId="1" builtinId="4"/>
    <cellStyle name="Normal" xfId="0" builtinId="0"/>
    <cellStyle name="Normal_Plan1" xfId="4" xr:uid="{31259BFC-33D6-4CDD-B107-70DAE4C54D92}"/>
    <cellStyle name="Porcentagem" xfId="3" builtinId="5"/>
    <cellStyle name="Vírgula" xfId="2" builtin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0C51C-3739-4B47-A41E-23DEB2941C24}">
  <dimension ref="A1:K154"/>
  <sheetViews>
    <sheetView zoomScale="124" zoomScaleNormal="124" workbookViewId="0">
      <selection activeCell="H12" sqref="H12"/>
    </sheetView>
  </sheetViews>
  <sheetFormatPr defaultColWidth="8.85546875" defaultRowHeight="16.5" x14ac:dyDescent="0.25"/>
  <cols>
    <col min="1" max="1" width="4.42578125" style="10" customWidth="1"/>
    <col min="2" max="2" width="8.28515625" style="20" customWidth="1"/>
    <col min="3" max="3" width="44.5703125" style="10" customWidth="1"/>
    <col min="4" max="4" width="4.42578125" style="10" customWidth="1"/>
    <col min="5" max="7" width="6.7109375" style="21" customWidth="1"/>
    <col min="8" max="8" width="15.42578125" style="21" customWidth="1"/>
    <col min="9" max="10" width="8.85546875" style="10"/>
    <col min="11" max="11" width="9.42578125" style="10" bestFit="1" customWidth="1"/>
    <col min="12" max="16384" width="8.85546875" style="10"/>
  </cols>
  <sheetData>
    <row r="1" spans="1:11" ht="60" customHeight="1" x14ac:dyDescent="0.25">
      <c r="A1" s="88" t="s">
        <v>12</v>
      </c>
      <c r="B1" s="89"/>
      <c r="C1" s="89"/>
      <c r="D1" s="89"/>
      <c r="E1" s="89"/>
      <c r="F1" s="89"/>
      <c r="G1" s="89"/>
      <c r="H1" s="90"/>
    </row>
    <row r="2" spans="1:11" ht="6" customHeight="1" x14ac:dyDescent="0.25">
      <c r="A2" s="91"/>
      <c r="B2" s="91"/>
      <c r="C2" s="91"/>
      <c r="D2" s="91"/>
      <c r="E2" s="91"/>
      <c r="F2" s="91"/>
      <c r="G2" s="91"/>
      <c r="H2" s="91"/>
    </row>
    <row r="3" spans="1:11" ht="16.5" customHeight="1" x14ac:dyDescent="0.25">
      <c r="A3" s="92" t="s">
        <v>0</v>
      </c>
      <c r="B3" s="93"/>
      <c r="C3" s="93"/>
      <c r="D3" s="93"/>
      <c r="E3" s="93"/>
      <c r="F3" s="93"/>
      <c r="G3" s="93"/>
      <c r="H3" s="94"/>
    </row>
    <row r="4" spans="1:11" ht="15.75" customHeight="1" x14ac:dyDescent="0.25">
      <c r="A4" s="95" t="s">
        <v>323</v>
      </c>
      <c r="B4" s="96"/>
      <c r="C4" s="96"/>
      <c r="D4" s="96"/>
      <c r="E4" s="96"/>
      <c r="F4" s="96"/>
      <c r="G4" s="96"/>
      <c r="H4" s="97"/>
    </row>
    <row r="5" spans="1:11" ht="16.5" customHeight="1" x14ac:dyDescent="0.25">
      <c r="A5" s="95" t="s">
        <v>56</v>
      </c>
      <c r="B5" s="96"/>
      <c r="C5" s="96"/>
      <c r="D5" s="96"/>
      <c r="E5" s="96"/>
      <c r="F5" s="96"/>
      <c r="G5" s="96"/>
      <c r="H5" s="97"/>
    </row>
    <row r="6" spans="1:11" ht="13.9" customHeight="1" x14ac:dyDescent="0.25">
      <c r="A6" s="98" t="s">
        <v>322</v>
      </c>
      <c r="B6" s="99"/>
      <c r="C6" s="99"/>
      <c r="D6" s="99"/>
      <c r="E6" s="99"/>
      <c r="F6" s="100"/>
      <c r="G6" s="101" t="s">
        <v>57</v>
      </c>
      <c r="H6" s="102"/>
    </row>
    <row r="7" spans="1:11" ht="13.9" customHeight="1" x14ac:dyDescent="0.25">
      <c r="A7" s="95" t="s">
        <v>55</v>
      </c>
      <c r="B7" s="96"/>
      <c r="C7" s="96"/>
      <c r="D7" s="96"/>
      <c r="E7" s="96"/>
      <c r="F7" s="97"/>
      <c r="G7" s="55" t="s">
        <v>24</v>
      </c>
      <c r="H7" s="56">
        <v>0.30909999999999999</v>
      </c>
    </row>
    <row r="8" spans="1:11" ht="5.25" customHeight="1" x14ac:dyDescent="0.25">
      <c r="A8" s="109"/>
      <c r="B8" s="109"/>
      <c r="C8" s="109"/>
      <c r="D8" s="109"/>
      <c r="E8" s="109"/>
      <c r="F8" s="109"/>
      <c r="G8" s="109"/>
      <c r="H8" s="109"/>
    </row>
    <row r="9" spans="1:11" s="11" customFormat="1" ht="17.25" customHeight="1" x14ac:dyDescent="0.25">
      <c r="A9" s="110" t="s">
        <v>1</v>
      </c>
      <c r="B9" s="112" t="s">
        <v>2</v>
      </c>
      <c r="C9" s="110" t="s">
        <v>3</v>
      </c>
      <c r="D9" s="110" t="s">
        <v>4</v>
      </c>
      <c r="E9" s="104" t="s">
        <v>5</v>
      </c>
      <c r="F9" s="114" t="s">
        <v>6</v>
      </c>
      <c r="G9" s="115"/>
      <c r="H9" s="104" t="s">
        <v>7</v>
      </c>
      <c r="K9" s="67">
        <f>H12/E130</f>
        <v>2033.8690173475729</v>
      </c>
    </row>
    <row r="10" spans="1:11" s="11" customFormat="1" ht="17.25" customHeight="1" x14ac:dyDescent="0.25">
      <c r="A10" s="111"/>
      <c r="B10" s="113"/>
      <c r="C10" s="111"/>
      <c r="D10" s="111"/>
      <c r="E10" s="105"/>
      <c r="F10" s="9" t="s">
        <v>8</v>
      </c>
      <c r="G10" s="9" t="s">
        <v>9</v>
      </c>
      <c r="H10" s="105"/>
    </row>
    <row r="11" spans="1:11" s="11" customFormat="1" ht="17.25" customHeight="1" x14ac:dyDescent="0.25">
      <c r="A11" s="42"/>
      <c r="B11" s="43"/>
      <c r="C11" s="44" t="s">
        <v>68</v>
      </c>
      <c r="D11" s="42"/>
      <c r="E11" s="45"/>
      <c r="F11" s="46"/>
      <c r="G11" s="46"/>
      <c r="H11" s="47">
        <f>H12</f>
        <v>161970.21000000002</v>
      </c>
      <c r="K11" s="67"/>
    </row>
    <row r="12" spans="1:11" s="11" customFormat="1" ht="15" customHeight="1" x14ac:dyDescent="0.25">
      <c r="A12" s="50"/>
      <c r="B12" s="51"/>
      <c r="C12" s="52" t="s">
        <v>97</v>
      </c>
      <c r="D12" s="53"/>
      <c r="E12" s="54"/>
      <c r="F12" s="54"/>
      <c r="G12" s="54"/>
      <c r="H12" s="29">
        <f>H13+H23+H28+H37+H47+H51+H58+H66+H72+H75+H83+H100+H111+H114+H117+H125+H129</f>
        <v>161970.21000000002</v>
      </c>
    </row>
    <row r="13" spans="1:11" s="11" customFormat="1" ht="15" customHeight="1" x14ac:dyDescent="0.25">
      <c r="A13" s="12">
        <v>1</v>
      </c>
      <c r="B13" s="13"/>
      <c r="C13" s="30" t="s">
        <v>58</v>
      </c>
      <c r="D13" s="14"/>
      <c r="E13" s="15"/>
      <c r="F13" s="15"/>
      <c r="G13" s="15"/>
      <c r="H13" s="29">
        <f>SUM(H14:H21)</f>
        <v>7735.34</v>
      </c>
    </row>
    <row r="14" spans="1:11" s="11" customFormat="1" ht="65.25" customHeight="1" x14ac:dyDescent="0.25">
      <c r="A14" s="16" t="s">
        <v>10</v>
      </c>
      <c r="B14" s="36" t="s">
        <v>60</v>
      </c>
      <c r="C14" s="7" t="s">
        <v>59</v>
      </c>
      <c r="D14" s="3" t="s">
        <v>30</v>
      </c>
      <c r="E14" s="32">
        <f>'Mem. Cálculo'!H13</f>
        <v>4.5</v>
      </c>
      <c r="F14" s="25">
        <v>317.70999999999998</v>
      </c>
      <c r="G14" s="25">
        <f>ROUND((F14+F14*H$7),2)</f>
        <v>415.91</v>
      </c>
      <c r="H14" s="25">
        <f>ROUND((E14*G14),2)</f>
        <v>1871.6</v>
      </c>
    </row>
    <row r="15" spans="1:11" s="11" customFormat="1" ht="25.5" x14ac:dyDescent="0.25">
      <c r="A15" s="16" t="s">
        <v>37</v>
      </c>
      <c r="B15" s="6" t="s">
        <v>362</v>
      </c>
      <c r="C15" s="7" t="s">
        <v>26</v>
      </c>
      <c r="D15" s="26" t="s">
        <v>27</v>
      </c>
      <c r="E15" s="32">
        <v>4</v>
      </c>
      <c r="F15" s="25">
        <f>24.43+17.77</f>
        <v>42.2</v>
      </c>
      <c r="G15" s="25">
        <f t="shared" ref="G15:G69" si="0">ROUND((F15+F15*H$7),2)</f>
        <v>55.24</v>
      </c>
      <c r="H15" s="25">
        <f t="shared" ref="H15:H69" si="1">ROUND((E15*G15),2)</f>
        <v>220.96</v>
      </c>
    </row>
    <row r="16" spans="1:11" s="4" customFormat="1" ht="12.75" x14ac:dyDescent="0.25">
      <c r="A16" s="16" t="s">
        <v>14</v>
      </c>
      <c r="B16" s="36" t="s">
        <v>298</v>
      </c>
      <c r="C16" s="7" t="s">
        <v>297</v>
      </c>
      <c r="D16" s="26" t="s">
        <v>28</v>
      </c>
      <c r="E16" s="32">
        <f>'Mem. Cálculo'!H15</f>
        <v>4.8284099999999999</v>
      </c>
      <c r="F16" s="5">
        <v>139.34</v>
      </c>
      <c r="G16" s="25">
        <f t="shared" si="0"/>
        <v>182.41</v>
      </c>
      <c r="H16" s="25">
        <f t="shared" si="1"/>
        <v>880.75</v>
      </c>
    </row>
    <row r="17" spans="1:8" s="4" customFormat="1" ht="25.5" x14ac:dyDescent="0.25">
      <c r="A17" s="16" t="s">
        <v>15</v>
      </c>
      <c r="B17" s="6" t="s">
        <v>46</v>
      </c>
      <c r="C17" s="7" t="s">
        <v>45</v>
      </c>
      <c r="D17" s="26" t="s">
        <v>28</v>
      </c>
      <c r="E17" s="32">
        <f>'Mem. Cálculo'!H16</f>
        <v>0.75659999999999994</v>
      </c>
      <c r="F17" s="5">
        <v>110.83</v>
      </c>
      <c r="G17" s="25">
        <f t="shared" si="0"/>
        <v>145.09</v>
      </c>
      <c r="H17" s="25">
        <f t="shared" si="1"/>
        <v>109.78</v>
      </c>
    </row>
    <row r="18" spans="1:8" s="4" customFormat="1" ht="25.5" x14ac:dyDescent="0.25">
      <c r="A18" s="16" t="s">
        <v>38</v>
      </c>
      <c r="B18" s="6" t="s">
        <v>49</v>
      </c>
      <c r="C18" s="7" t="s">
        <v>48</v>
      </c>
      <c r="D18" s="26" t="s">
        <v>28</v>
      </c>
      <c r="E18" s="32">
        <f>'Mem. Cálculo'!H17</f>
        <v>1.9396500000000001</v>
      </c>
      <c r="F18" s="25">
        <v>46.8</v>
      </c>
      <c r="G18" s="25">
        <f t="shared" si="0"/>
        <v>61.27</v>
      </c>
      <c r="H18" s="25">
        <f t="shared" si="1"/>
        <v>118.84</v>
      </c>
    </row>
    <row r="19" spans="1:8" s="4" customFormat="1" ht="57" customHeight="1" x14ac:dyDescent="0.25">
      <c r="A19" s="16" t="s">
        <v>52</v>
      </c>
      <c r="B19" s="6" t="s">
        <v>355</v>
      </c>
      <c r="C19" s="7" t="s">
        <v>354</v>
      </c>
      <c r="D19" s="3" t="s">
        <v>353</v>
      </c>
      <c r="E19" s="32">
        <f>'Mem. Cálculo'!H18</f>
        <v>4</v>
      </c>
      <c r="F19" s="5">
        <f>24.25+17.77</f>
        <v>42.019999999999996</v>
      </c>
      <c r="G19" s="25">
        <f t="shared" si="0"/>
        <v>55.01</v>
      </c>
      <c r="H19" s="25">
        <f t="shared" si="1"/>
        <v>220.04</v>
      </c>
    </row>
    <row r="20" spans="1:8" s="4" customFormat="1" ht="52.5" customHeight="1" x14ac:dyDescent="0.25">
      <c r="A20" s="16" t="s">
        <v>53</v>
      </c>
      <c r="B20" s="36" t="s">
        <v>50</v>
      </c>
      <c r="C20" s="7" t="s">
        <v>51</v>
      </c>
      <c r="D20" s="3" t="s">
        <v>30</v>
      </c>
      <c r="E20" s="32">
        <f>'Mem. Cálculo'!H19</f>
        <v>12.61</v>
      </c>
      <c r="F20" s="5">
        <v>13.24</v>
      </c>
      <c r="G20" s="25">
        <f t="shared" ref="G20:G54" si="2">ROUND((F20+F20*H$7),2)</f>
        <v>17.329999999999998</v>
      </c>
      <c r="H20" s="25">
        <f>ROUND((E20*G20),2)</f>
        <v>218.53</v>
      </c>
    </row>
    <row r="21" spans="1:8" s="4" customFormat="1" ht="27.75" customHeight="1" x14ac:dyDescent="0.25">
      <c r="A21" s="16" t="s">
        <v>63</v>
      </c>
      <c r="B21" s="6" t="s">
        <v>66</v>
      </c>
      <c r="C21" s="7" t="s">
        <v>65</v>
      </c>
      <c r="D21" s="3" t="s">
        <v>30</v>
      </c>
      <c r="E21" s="32">
        <f>'Mem. Cálculo'!H20</f>
        <v>5.76</v>
      </c>
      <c r="F21" s="5">
        <v>543.04999999999995</v>
      </c>
      <c r="G21" s="25">
        <f t="shared" si="2"/>
        <v>710.91</v>
      </c>
      <c r="H21" s="25">
        <f t="shared" ref="H21:H54" si="3">ROUND((E21*G21),2)</f>
        <v>4094.84</v>
      </c>
    </row>
    <row r="22" spans="1:8" s="4" customFormat="1" ht="12.75" x14ac:dyDescent="0.25">
      <c r="A22" s="16"/>
      <c r="B22" s="6"/>
      <c r="C22" s="7"/>
      <c r="D22" s="3"/>
      <c r="E22" s="32"/>
      <c r="F22" s="5"/>
      <c r="G22" s="25"/>
      <c r="H22" s="25"/>
    </row>
    <row r="23" spans="1:8" s="4" customFormat="1" ht="14.25" customHeight="1" x14ac:dyDescent="0.25">
      <c r="A23" s="12">
        <v>2</v>
      </c>
      <c r="B23" s="13"/>
      <c r="C23" s="30" t="s">
        <v>72</v>
      </c>
      <c r="D23" s="14"/>
      <c r="E23" s="15"/>
      <c r="F23" s="15"/>
      <c r="G23" s="15"/>
      <c r="H23" s="29">
        <f>SUM(H24:H26)</f>
        <v>2734.13</v>
      </c>
    </row>
    <row r="24" spans="1:8" s="4" customFormat="1" ht="25.5" x14ac:dyDescent="0.25">
      <c r="A24" s="16" t="s">
        <v>69</v>
      </c>
      <c r="B24" s="6" t="s">
        <v>73</v>
      </c>
      <c r="C24" s="7" t="s">
        <v>74</v>
      </c>
      <c r="D24" s="26" t="s">
        <v>28</v>
      </c>
      <c r="E24" s="32">
        <f>'Mem. Cálculo'!H23</f>
        <v>14.733600000000001</v>
      </c>
      <c r="F24" s="5">
        <v>60.61</v>
      </c>
      <c r="G24" s="25">
        <f t="shared" si="2"/>
        <v>79.34</v>
      </c>
      <c r="H24" s="25">
        <f t="shared" si="3"/>
        <v>1168.96</v>
      </c>
    </row>
    <row r="25" spans="1:8" s="4" customFormat="1" ht="25.5" x14ac:dyDescent="0.25">
      <c r="A25" s="16" t="s">
        <v>70</v>
      </c>
      <c r="B25" s="6" t="s">
        <v>75</v>
      </c>
      <c r="C25" s="7" t="s">
        <v>76</v>
      </c>
      <c r="D25" s="3" t="s">
        <v>30</v>
      </c>
      <c r="E25" s="32">
        <f>'Mem. Cálculo'!H24</f>
        <v>15.964</v>
      </c>
      <c r="F25" s="5">
        <v>20.43</v>
      </c>
      <c r="G25" s="25">
        <f t="shared" si="2"/>
        <v>26.74</v>
      </c>
      <c r="H25" s="25">
        <f t="shared" si="3"/>
        <v>426.88</v>
      </c>
    </row>
    <row r="26" spans="1:8" s="4" customFormat="1" ht="25.5" x14ac:dyDescent="0.25">
      <c r="A26" s="16" t="s">
        <v>71</v>
      </c>
      <c r="B26" s="6" t="s">
        <v>80</v>
      </c>
      <c r="C26" s="7" t="s">
        <v>81</v>
      </c>
      <c r="D26" s="26" t="s">
        <v>28</v>
      </c>
      <c r="E26" s="32">
        <f>'Mem. Cálculo'!H25</f>
        <v>14.347000000000001</v>
      </c>
      <c r="F26" s="5">
        <v>60.61</v>
      </c>
      <c r="G26" s="25">
        <f t="shared" ref="G26" si="4">ROUND((F26+F26*H$7),2)</f>
        <v>79.34</v>
      </c>
      <c r="H26" s="25">
        <f t="shared" ref="H26" si="5">ROUND((E26*G26),2)</f>
        <v>1138.29</v>
      </c>
    </row>
    <row r="27" spans="1:8" s="4" customFormat="1" ht="12.75" x14ac:dyDescent="0.25">
      <c r="A27" s="16"/>
      <c r="B27" s="6"/>
      <c r="C27" s="7"/>
      <c r="D27" s="3"/>
      <c r="E27" s="32"/>
      <c r="F27" s="5"/>
      <c r="G27" s="25"/>
      <c r="H27" s="25"/>
    </row>
    <row r="28" spans="1:8" s="4" customFormat="1" ht="15" customHeight="1" x14ac:dyDescent="0.25">
      <c r="A28" s="12">
        <v>3</v>
      </c>
      <c r="B28" s="13"/>
      <c r="C28" s="30" t="s">
        <v>82</v>
      </c>
      <c r="D28" s="14"/>
      <c r="E28" s="15"/>
      <c r="F28" s="15"/>
      <c r="G28" s="15"/>
      <c r="H28" s="29">
        <f>SUM(H29:H35)</f>
        <v>20964.57</v>
      </c>
    </row>
    <row r="29" spans="1:8" s="49" customFormat="1" ht="25.5" x14ac:dyDescent="0.25">
      <c r="A29" s="16" t="s">
        <v>83</v>
      </c>
      <c r="B29" s="6" t="s">
        <v>32</v>
      </c>
      <c r="C29" s="7" t="s">
        <v>31</v>
      </c>
      <c r="D29" s="3" t="s">
        <v>54</v>
      </c>
      <c r="E29" s="32">
        <f>'Mem. Cálculo'!H28</f>
        <v>88.05637866666666</v>
      </c>
      <c r="F29" s="5">
        <v>12.57</v>
      </c>
      <c r="G29" s="25">
        <f t="shared" ref="G29" si="6">ROUND((F29+F29*H$7),2)</f>
        <v>16.46</v>
      </c>
      <c r="H29" s="25">
        <f t="shared" ref="H29" si="7">ROUND((E29*G29),2)</f>
        <v>1449.41</v>
      </c>
    </row>
    <row r="30" spans="1:8" s="4" customFormat="1" ht="25.5" x14ac:dyDescent="0.25">
      <c r="A30" s="16" t="s">
        <v>84</v>
      </c>
      <c r="B30" s="6" t="s">
        <v>77</v>
      </c>
      <c r="C30" s="7" t="s">
        <v>78</v>
      </c>
      <c r="D30" s="3" t="s">
        <v>54</v>
      </c>
      <c r="E30" s="32">
        <f>'Mem. Cálculo'!H29</f>
        <v>201.63960000000003</v>
      </c>
      <c r="F30" s="5">
        <v>13.65</v>
      </c>
      <c r="G30" s="25">
        <f t="shared" si="2"/>
        <v>17.87</v>
      </c>
      <c r="H30" s="25">
        <f t="shared" si="3"/>
        <v>3603.3</v>
      </c>
    </row>
    <row r="31" spans="1:8" s="4" customFormat="1" ht="25.5" x14ac:dyDescent="0.25">
      <c r="A31" s="16" t="s">
        <v>85</v>
      </c>
      <c r="B31" s="6" t="s">
        <v>36</v>
      </c>
      <c r="C31" s="7" t="s">
        <v>35</v>
      </c>
      <c r="D31" s="3" t="s">
        <v>54</v>
      </c>
      <c r="E31" s="32">
        <f>'Mem. Cálculo'!H30</f>
        <v>47.632400000000011</v>
      </c>
      <c r="F31" s="5">
        <v>13.08</v>
      </c>
      <c r="G31" s="25">
        <f t="shared" si="2"/>
        <v>17.12</v>
      </c>
      <c r="H31" s="25">
        <f t="shared" si="3"/>
        <v>815.47</v>
      </c>
    </row>
    <row r="32" spans="1:8" s="4" customFormat="1" ht="25.5" x14ac:dyDescent="0.25">
      <c r="A32" s="16" t="s">
        <v>86</v>
      </c>
      <c r="B32" s="6" t="s">
        <v>29</v>
      </c>
      <c r="C32" s="7" t="s">
        <v>79</v>
      </c>
      <c r="D32" s="3" t="s">
        <v>30</v>
      </c>
      <c r="E32" s="32">
        <f>'Mem. Cálculo'!H31</f>
        <v>46.356000000000002</v>
      </c>
      <c r="F32" s="5">
        <v>56.41</v>
      </c>
      <c r="G32" s="25">
        <f t="shared" si="2"/>
        <v>73.849999999999994</v>
      </c>
      <c r="H32" s="25">
        <f t="shared" si="3"/>
        <v>3423.39</v>
      </c>
    </row>
    <row r="33" spans="1:8" s="4" customFormat="1" ht="12.75" x14ac:dyDescent="0.25">
      <c r="A33" s="16" t="s">
        <v>87</v>
      </c>
      <c r="B33" s="6" t="s">
        <v>88</v>
      </c>
      <c r="C33" s="7" t="s">
        <v>89</v>
      </c>
      <c r="D33" s="3" t="s">
        <v>30</v>
      </c>
      <c r="E33" s="32">
        <f>'Mem. Cálculo'!H32</f>
        <v>41.616</v>
      </c>
      <c r="F33" s="5">
        <v>23.36</v>
      </c>
      <c r="G33" s="25">
        <f t="shared" si="2"/>
        <v>30.58</v>
      </c>
      <c r="H33" s="25">
        <f t="shared" si="3"/>
        <v>1272.6199999999999</v>
      </c>
    </row>
    <row r="34" spans="1:8" s="4" customFormat="1" ht="38.25" x14ac:dyDescent="0.25">
      <c r="A34" s="16" t="s">
        <v>312</v>
      </c>
      <c r="B34" s="6" t="s">
        <v>313</v>
      </c>
      <c r="C34" s="7" t="s">
        <v>314</v>
      </c>
      <c r="D34" s="26" t="s">
        <v>28</v>
      </c>
      <c r="E34" s="32">
        <f>'Mem. Cálculo'!H33</f>
        <v>4.7607900000000001</v>
      </c>
      <c r="F34" s="5">
        <v>652.21</v>
      </c>
      <c r="G34" s="25">
        <f t="shared" si="2"/>
        <v>853.81</v>
      </c>
      <c r="H34" s="25">
        <f>ROUND((E34*G34),2)</f>
        <v>4064.81</v>
      </c>
    </row>
    <row r="35" spans="1:8" s="4" customFormat="1" ht="38.25" x14ac:dyDescent="0.25">
      <c r="A35" s="16" t="s">
        <v>316</v>
      </c>
      <c r="B35" s="6" t="s">
        <v>318</v>
      </c>
      <c r="C35" s="7" t="s">
        <v>317</v>
      </c>
      <c r="D35" s="26" t="s">
        <v>28</v>
      </c>
      <c r="E35" s="32">
        <f>'Mem. Cálculo'!H34</f>
        <v>7.2163199999999996</v>
      </c>
      <c r="F35" s="5">
        <v>670.65</v>
      </c>
      <c r="G35" s="25">
        <f t="shared" si="2"/>
        <v>877.95</v>
      </c>
      <c r="H35" s="25">
        <f t="shared" si="3"/>
        <v>6335.57</v>
      </c>
    </row>
    <row r="36" spans="1:8" s="4" customFormat="1" ht="12.75" x14ac:dyDescent="0.25">
      <c r="A36" s="16"/>
      <c r="B36" s="6"/>
      <c r="C36" s="7"/>
      <c r="D36" s="3"/>
      <c r="E36" s="32"/>
      <c r="F36" s="5"/>
      <c r="G36" s="25"/>
      <c r="H36" s="25"/>
    </row>
    <row r="37" spans="1:8" s="4" customFormat="1" ht="15" customHeight="1" x14ac:dyDescent="0.25">
      <c r="A37" s="12">
        <v>4</v>
      </c>
      <c r="B37" s="13"/>
      <c r="C37" s="30" t="s">
        <v>98</v>
      </c>
      <c r="D37" s="14"/>
      <c r="E37" s="15"/>
      <c r="F37" s="15"/>
      <c r="G37" s="15"/>
      <c r="H37" s="29">
        <f>SUM(H38:H45)</f>
        <v>25115.66</v>
      </c>
    </row>
    <row r="38" spans="1:8" s="4" customFormat="1" ht="25.5" x14ac:dyDescent="0.25">
      <c r="A38" s="16" t="s">
        <v>90</v>
      </c>
      <c r="B38" s="6" t="s">
        <v>32</v>
      </c>
      <c r="C38" s="7" t="s">
        <v>31</v>
      </c>
      <c r="D38" s="3" t="s">
        <v>54</v>
      </c>
      <c r="E38" s="32">
        <f>'Mem. Cálculo'!H37</f>
        <v>48.748392000000003</v>
      </c>
      <c r="F38" s="5">
        <v>12.57</v>
      </c>
      <c r="G38" s="25">
        <f t="shared" ref="G38:G43" si="8">ROUND((F38+F38*H$7),2)</f>
        <v>16.46</v>
      </c>
      <c r="H38" s="25">
        <f t="shared" ref="H38:H43" si="9">ROUND((E38*G38),2)</f>
        <v>802.4</v>
      </c>
    </row>
    <row r="39" spans="1:8" s="4" customFormat="1" ht="25.5" x14ac:dyDescent="0.25">
      <c r="A39" s="16" t="s">
        <v>91</v>
      </c>
      <c r="B39" s="6" t="s">
        <v>34</v>
      </c>
      <c r="C39" s="7" t="s">
        <v>33</v>
      </c>
      <c r="D39" s="3" t="s">
        <v>54</v>
      </c>
      <c r="E39" s="32">
        <f>'Mem. Cálculo'!H38</f>
        <v>179.18809999999996</v>
      </c>
      <c r="F39" s="5">
        <v>13.6</v>
      </c>
      <c r="G39" s="25">
        <f t="shared" ref="G39" si="10">ROUND((F39+F39*H$7),2)</f>
        <v>17.8</v>
      </c>
      <c r="H39" s="25">
        <f t="shared" ref="H39" si="11">ROUND((E39*G39),2)</f>
        <v>3189.55</v>
      </c>
    </row>
    <row r="40" spans="1:8" s="4" customFormat="1" ht="25.5" x14ac:dyDescent="0.25">
      <c r="A40" s="16" t="s">
        <v>92</v>
      </c>
      <c r="B40" s="6" t="s">
        <v>77</v>
      </c>
      <c r="C40" s="7" t="s">
        <v>78</v>
      </c>
      <c r="D40" s="3" t="s">
        <v>54</v>
      </c>
      <c r="E40" s="32">
        <f>'Mem. Cálculo'!H39</f>
        <v>68.73</v>
      </c>
      <c r="F40" s="5">
        <v>13.65</v>
      </c>
      <c r="G40" s="25">
        <f t="shared" si="8"/>
        <v>17.87</v>
      </c>
      <c r="H40" s="25">
        <f t="shared" si="9"/>
        <v>1228.21</v>
      </c>
    </row>
    <row r="41" spans="1:8" s="4" customFormat="1" ht="25.5" x14ac:dyDescent="0.25">
      <c r="A41" s="16" t="s">
        <v>93</v>
      </c>
      <c r="B41" s="6" t="s">
        <v>36</v>
      </c>
      <c r="C41" s="7" t="s">
        <v>35</v>
      </c>
      <c r="D41" s="3" t="s">
        <v>54</v>
      </c>
      <c r="E41" s="32">
        <f>'Mem. Cálculo'!H40</f>
        <v>214.81471999999997</v>
      </c>
      <c r="F41" s="5">
        <v>13.08</v>
      </c>
      <c r="G41" s="25">
        <f t="shared" si="8"/>
        <v>17.12</v>
      </c>
      <c r="H41" s="25">
        <f t="shared" si="9"/>
        <v>3677.63</v>
      </c>
    </row>
    <row r="42" spans="1:8" s="4" customFormat="1" ht="25.5" x14ac:dyDescent="0.25">
      <c r="A42" s="16" t="s">
        <v>94</v>
      </c>
      <c r="B42" s="6" t="s">
        <v>100</v>
      </c>
      <c r="C42" s="7" t="s">
        <v>99</v>
      </c>
      <c r="D42" s="3" t="s">
        <v>54</v>
      </c>
      <c r="E42" s="32">
        <f>'Mem. Cálculo'!H41</f>
        <v>116.19557999999999</v>
      </c>
      <c r="F42" s="5">
        <v>11.83</v>
      </c>
      <c r="G42" s="25">
        <f t="shared" ref="G42" si="12">ROUND((F42+F42*H$7),2)</f>
        <v>15.49</v>
      </c>
      <c r="H42" s="25">
        <f t="shared" ref="H42" si="13">ROUND((E42*G42),2)</f>
        <v>1799.87</v>
      </c>
    </row>
    <row r="43" spans="1:8" s="4" customFormat="1" ht="25.5" x14ac:dyDescent="0.25">
      <c r="A43" s="16" t="s">
        <v>95</v>
      </c>
      <c r="B43" s="6" t="s">
        <v>101</v>
      </c>
      <c r="C43" s="7" t="s">
        <v>102</v>
      </c>
      <c r="D43" s="3" t="s">
        <v>30</v>
      </c>
      <c r="E43" s="32">
        <f>'Mem. Cálculo'!H42</f>
        <v>95.513499999999993</v>
      </c>
      <c r="F43" s="5">
        <v>53.6</v>
      </c>
      <c r="G43" s="25">
        <f t="shared" si="8"/>
        <v>70.17</v>
      </c>
      <c r="H43" s="25">
        <f t="shared" si="9"/>
        <v>6702.18</v>
      </c>
    </row>
    <row r="44" spans="1:8" s="4" customFormat="1" ht="38.25" x14ac:dyDescent="0.25">
      <c r="A44" s="16" t="s">
        <v>96</v>
      </c>
      <c r="B44" s="6" t="s">
        <v>103</v>
      </c>
      <c r="C44" s="7" t="s">
        <v>104</v>
      </c>
      <c r="D44" s="3" t="s">
        <v>105</v>
      </c>
      <c r="E44" s="32">
        <f>'Mem. Cálculo'!H43</f>
        <v>54.85349999999999</v>
      </c>
      <c r="F44" s="5">
        <v>13.47</v>
      </c>
      <c r="G44" s="25">
        <f t="shared" si="2"/>
        <v>17.63</v>
      </c>
      <c r="H44" s="25">
        <f t="shared" si="3"/>
        <v>967.07</v>
      </c>
    </row>
    <row r="45" spans="1:8" s="4" customFormat="1" ht="38.25" x14ac:dyDescent="0.25">
      <c r="A45" s="16" t="s">
        <v>315</v>
      </c>
      <c r="B45" s="6" t="s">
        <v>320</v>
      </c>
      <c r="C45" s="7" t="s">
        <v>319</v>
      </c>
      <c r="D45" s="26" t="s">
        <v>28</v>
      </c>
      <c r="E45" s="32">
        <f>'Mem. Cálculo'!H44</f>
        <v>7.1529600000000002</v>
      </c>
      <c r="F45" s="5">
        <v>720.72</v>
      </c>
      <c r="G45" s="25">
        <f t="shared" ref="G45" si="14">ROUND((F45+F45*H$7),2)</f>
        <v>943.49</v>
      </c>
      <c r="H45" s="25">
        <f t="shared" ref="H45" si="15">ROUND((E45*G45),2)</f>
        <v>6748.75</v>
      </c>
    </row>
    <row r="46" spans="1:8" s="4" customFormat="1" ht="12.75" x14ac:dyDescent="0.25">
      <c r="A46" s="16"/>
      <c r="B46" s="6"/>
      <c r="C46" s="7"/>
      <c r="D46" s="3"/>
      <c r="E46" s="32"/>
      <c r="F46" s="5"/>
      <c r="G46" s="25"/>
      <c r="H46" s="25"/>
    </row>
    <row r="47" spans="1:8" s="4" customFormat="1" ht="14.25" customHeight="1" x14ac:dyDescent="0.25">
      <c r="A47" s="12">
        <v>5</v>
      </c>
      <c r="B47" s="13"/>
      <c r="C47" s="30" t="s">
        <v>106</v>
      </c>
      <c r="D47" s="14"/>
      <c r="E47" s="15"/>
      <c r="F47" s="15"/>
      <c r="G47" s="15"/>
      <c r="H47" s="29">
        <f>SUM(H48:H49)</f>
        <v>9101.9</v>
      </c>
    </row>
    <row r="48" spans="1:8" s="4" customFormat="1" ht="38.25" x14ac:dyDescent="0.25">
      <c r="A48" s="16" t="s">
        <v>107</v>
      </c>
      <c r="B48" s="6" t="s">
        <v>110</v>
      </c>
      <c r="C48" s="7" t="s">
        <v>109</v>
      </c>
      <c r="D48" s="3" t="s">
        <v>30</v>
      </c>
      <c r="E48" s="32">
        <f>'Mem. Cálculo'!H47</f>
        <v>90.236000000000004</v>
      </c>
      <c r="F48" s="5">
        <v>65.56</v>
      </c>
      <c r="G48" s="25">
        <f t="shared" si="2"/>
        <v>85.82</v>
      </c>
      <c r="H48" s="25">
        <f t="shared" si="3"/>
        <v>7744.05</v>
      </c>
    </row>
    <row r="49" spans="1:8" s="4" customFormat="1" ht="51" x14ac:dyDescent="0.25">
      <c r="A49" s="16" t="s">
        <v>108</v>
      </c>
      <c r="B49" s="6" t="s">
        <v>111</v>
      </c>
      <c r="C49" s="2" t="s">
        <v>112</v>
      </c>
      <c r="D49" s="26" t="s">
        <v>28</v>
      </c>
      <c r="E49" s="32">
        <f>'Mem. Cálculo'!H48</f>
        <v>0.38808000000000009</v>
      </c>
      <c r="F49" s="5">
        <v>2672.74</v>
      </c>
      <c r="G49" s="25">
        <f t="shared" si="2"/>
        <v>3498.88</v>
      </c>
      <c r="H49" s="25">
        <f t="shared" si="3"/>
        <v>1357.85</v>
      </c>
    </row>
    <row r="50" spans="1:8" s="4" customFormat="1" ht="12.75" x14ac:dyDescent="0.25">
      <c r="A50" s="16"/>
      <c r="B50" s="6"/>
      <c r="C50" s="7"/>
      <c r="D50" s="3"/>
      <c r="E50" s="32"/>
      <c r="F50" s="5"/>
      <c r="G50" s="25"/>
      <c r="H50" s="25"/>
    </row>
    <row r="51" spans="1:8" s="4" customFormat="1" ht="14.25" customHeight="1" x14ac:dyDescent="0.25">
      <c r="A51" s="12">
        <v>6</v>
      </c>
      <c r="B51" s="13"/>
      <c r="C51" s="30" t="s">
        <v>113</v>
      </c>
      <c r="D51" s="14"/>
      <c r="E51" s="15"/>
      <c r="F51" s="15"/>
      <c r="G51" s="15"/>
      <c r="H51" s="29">
        <f>SUM(H52:H56)</f>
        <v>13469.31</v>
      </c>
    </row>
    <row r="52" spans="1:8" s="4" customFormat="1" ht="40.5" customHeight="1" x14ac:dyDescent="0.25">
      <c r="A52" s="16" t="s">
        <v>114</v>
      </c>
      <c r="B52" s="6" t="s">
        <v>116</v>
      </c>
      <c r="C52" s="7" t="s">
        <v>117</v>
      </c>
      <c r="D52" s="3" t="s">
        <v>30</v>
      </c>
      <c r="E52" s="32">
        <f>'Mem. Cálculo'!H51</f>
        <v>198.92399999999998</v>
      </c>
      <c r="F52" s="5">
        <v>8.5</v>
      </c>
      <c r="G52" s="25">
        <f t="shared" si="2"/>
        <v>11.13</v>
      </c>
      <c r="H52" s="25">
        <f t="shared" si="3"/>
        <v>2214.02</v>
      </c>
    </row>
    <row r="53" spans="1:8" s="4" customFormat="1" ht="38.25" x14ac:dyDescent="0.25">
      <c r="A53" s="16" t="s">
        <v>115</v>
      </c>
      <c r="B53" s="6" t="s">
        <v>118</v>
      </c>
      <c r="C53" s="7" t="s">
        <v>119</v>
      </c>
      <c r="D53" s="3" t="s">
        <v>30</v>
      </c>
      <c r="E53" s="32">
        <f>'Mem. Cálculo'!H52</f>
        <v>7.83</v>
      </c>
      <c r="F53" s="5">
        <v>11.57</v>
      </c>
      <c r="G53" s="25">
        <f t="shared" si="2"/>
        <v>15.15</v>
      </c>
      <c r="H53" s="25">
        <f t="shared" si="3"/>
        <v>118.62</v>
      </c>
    </row>
    <row r="54" spans="1:8" s="4" customFormat="1" ht="49.5" customHeight="1" x14ac:dyDescent="0.25">
      <c r="A54" s="16" t="s">
        <v>120</v>
      </c>
      <c r="B54" s="6" t="s">
        <v>124</v>
      </c>
      <c r="C54" s="2" t="s">
        <v>123</v>
      </c>
      <c r="D54" s="3" t="s">
        <v>30</v>
      </c>
      <c r="E54" s="32">
        <f>'Mem. Cálculo'!H53</f>
        <v>198.92399999999998</v>
      </c>
      <c r="F54" s="5">
        <v>28.84</v>
      </c>
      <c r="G54" s="25">
        <f t="shared" si="2"/>
        <v>37.75</v>
      </c>
      <c r="H54" s="25">
        <f t="shared" si="3"/>
        <v>7509.38</v>
      </c>
    </row>
    <row r="55" spans="1:8" s="4" customFormat="1" ht="54" customHeight="1" x14ac:dyDescent="0.25">
      <c r="A55" s="16" t="s">
        <v>121</v>
      </c>
      <c r="B55" s="6" t="s">
        <v>126</v>
      </c>
      <c r="C55" s="2" t="s">
        <v>125</v>
      </c>
      <c r="D55" s="3" t="s">
        <v>30</v>
      </c>
      <c r="E55" s="32">
        <f>'Mem. Cálculo'!H54</f>
        <v>7.83</v>
      </c>
      <c r="F55" s="5">
        <v>30.64</v>
      </c>
      <c r="G55" s="25">
        <f t="shared" ref="G55" si="16">ROUND((F55+F55*H$7),2)</f>
        <v>40.11</v>
      </c>
      <c r="H55" s="25">
        <f t="shared" ref="H55" si="17">ROUND((E55*G55),2)</f>
        <v>314.06</v>
      </c>
    </row>
    <row r="56" spans="1:8" s="4" customFormat="1" ht="58.5" customHeight="1" x14ac:dyDescent="0.25">
      <c r="A56" s="16" t="s">
        <v>122</v>
      </c>
      <c r="B56" s="6" t="s">
        <v>128</v>
      </c>
      <c r="C56" s="2" t="s">
        <v>127</v>
      </c>
      <c r="D56" s="3" t="s">
        <v>30</v>
      </c>
      <c r="E56" s="32">
        <f>'Mem. Cálculo'!H55</f>
        <v>35.985999999999997</v>
      </c>
      <c r="F56" s="5">
        <v>70.33</v>
      </c>
      <c r="G56" s="25">
        <f t="shared" si="0"/>
        <v>92.07</v>
      </c>
      <c r="H56" s="25">
        <f t="shared" si="1"/>
        <v>3313.23</v>
      </c>
    </row>
    <row r="57" spans="1:8" s="4" customFormat="1" ht="12.75" x14ac:dyDescent="0.25">
      <c r="A57" s="16"/>
      <c r="B57" s="16"/>
      <c r="C57" s="28"/>
      <c r="D57" s="3"/>
      <c r="E57" s="32"/>
      <c r="F57" s="5"/>
      <c r="G57" s="25"/>
      <c r="H57" s="25"/>
    </row>
    <row r="58" spans="1:8" s="4" customFormat="1" ht="15" customHeight="1" x14ac:dyDescent="0.25">
      <c r="A58" s="12">
        <v>7</v>
      </c>
      <c r="B58" s="13"/>
      <c r="C58" s="30" t="s">
        <v>129</v>
      </c>
      <c r="D58" s="14"/>
      <c r="E58" s="15"/>
      <c r="F58" s="15"/>
      <c r="G58" s="15"/>
      <c r="H58" s="29">
        <f>SUM(H59:H64)</f>
        <v>14116.890000000001</v>
      </c>
    </row>
    <row r="59" spans="1:8" s="4" customFormat="1" ht="25.5" x14ac:dyDescent="0.25">
      <c r="A59" s="16" t="s">
        <v>132</v>
      </c>
      <c r="B59" s="16" t="s">
        <v>301</v>
      </c>
      <c r="C59" s="28" t="s">
        <v>300</v>
      </c>
      <c r="D59" s="3" t="s">
        <v>28</v>
      </c>
      <c r="E59" s="32">
        <f>'Mem. Cálculo'!H58</f>
        <v>4.3194599999999994</v>
      </c>
      <c r="F59" s="5">
        <v>398.73</v>
      </c>
      <c r="G59" s="25">
        <f t="shared" si="0"/>
        <v>521.98</v>
      </c>
      <c r="H59" s="25">
        <f>ROUND((E59*G59),2)</f>
        <v>2254.67</v>
      </c>
    </row>
    <row r="60" spans="1:8" s="4" customFormat="1" ht="25.5" x14ac:dyDescent="0.25">
      <c r="A60" s="16" t="s">
        <v>133</v>
      </c>
      <c r="B60" s="1" t="s">
        <v>131</v>
      </c>
      <c r="C60" s="27" t="s">
        <v>130</v>
      </c>
      <c r="D60" s="3" t="s">
        <v>30</v>
      </c>
      <c r="E60" s="32">
        <f>'Mem. Cálculo'!H59</f>
        <v>10.187459999999998</v>
      </c>
      <c r="F60" s="5">
        <v>33.130000000000003</v>
      </c>
      <c r="G60" s="25">
        <f t="shared" si="0"/>
        <v>43.37</v>
      </c>
      <c r="H60" s="25">
        <f t="shared" si="1"/>
        <v>441.83</v>
      </c>
    </row>
    <row r="61" spans="1:8" s="4" customFormat="1" ht="52.5" customHeight="1" x14ac:dyDescent="0.25">
      <c r="A61" s="16" t="s">
        <v>134</v>
      </c>
      <c r="B61" s="6" t="s">
        <v>139</v>
      </c>
      <c r="C61" s="2" t="s">
        <v>138</v>
      </c>
      <c r="D61" s="3" t="s">
        <v>30</v>
      </c>
      <c r="E61" s="32">
        <f>'Mem. Cálculo'!H60</f>
        <v>28.361999999999995</v>
      </c>
      <c r="F61" s="5">
        <v>128.94999999999999</v>
      </c>
      <c r="G61" s="25">
        <f t="shared" si="0"/>
        <v>168.81</v>
      </c>
      <c r="H61" s="25">
        <f t="shared" si="1"/>
        <v>4787.79</v>
      </c>
    </row>
    <row r="62" spans="1:8" s="4" customFormat="1" ht="54" customHeight="1" x14ac:dyDescent="0.25">
      <c r="A62" s="16" t="s">
        <v>135</v>
      </c>
      <c r="B62" s="6" t="s">
        <v>140</v>
      </c>
      <c r="C62" s="2" t="s">
        <v>141</v>
      </c>
      <c r="D62" s="3" t="s">
        <v>30</v>
      </c>
      <c r="E62" s="32">
        <f>'Mem. Cálculo'!H61</f>
        <v>16.703999999999997</v>
      </c>
      <c r="F62" s="5">
        <v>88.18</v>
      </c>
      <c r="G62" s="25">
        <f t="shared" si="0"/>
        <v>115.44</v>
      </c>
      <c r="H62" s="25">
        <f t="shared" si="1"/>
        <v>1928.31</v>
      </c>
    </row>
    <row r="63" spans="1:8" s="4" customFormat="1" ht="12.75" x14ac:dyDescent="0.25">
      <c r="A63" s="16" t="s">
        <v>136</v>
      </c>
      <c r="B63" s="6" t="s">
        <v>142</v>
      </c>
      <c r="C63" s="7" t="s">
        <v>143</v>
      </c>
      <c r="D63" s="3" t="s">
        <v>30</v>
      </c>
      <c r="E63" s="32">
        <f>'Mem. Cálculo'!H62</f>
        <v>7.3416000000000006</v>
      </c>
      <c r="F63" s="5">
        <v>318.08999999999997</v>
      </c>
      <c r="G63" s="25">
        <f t="shared" si="0"/>
        <v>416.41</v>
      </c>
      <c r="H63" s="25">
        <f t="shared" si="1"/>
        <v>3057.12</v>
      </c>
    </row>
    <row r="64" spans="1:8" s="4" customFormat="1" ht="53.25" customHeight="1" x14ac:dyDescent="0.25">
      <c r="A64" s="16" t="s">
        <v>137</v>
      </c>
      <c r="B64" s="6" t="s">
        <v>145</v>
      </c>
      <c r="C64" s="2" t="s">
        <v>144</v>
      </c>
      <c r="D64" s="3" t="s">
        <v>30</v>
      </c>
      <c r="E64" s="32">
        <f>'Mem. Cálculo'!H63</f>
        <v>25.14</v>
      </c>
      <c r="F64" s="5">
        <v>50.05</v>
      </c>
      <c r="G64" s="25">
        <f t="shared" si="0"/>
        <v>65.52</v>
      </c>
      <c r="H64" s="25">
        <f t="shared" si="1"/>
        <v>1647.17</v>
      </c>
    </row>
    <row r="65" spans="1:8" s="4" customFormat="1" ht="12.75" customHeight="1" x14ac:dyDescent="0.25">
      <c r="A65" s="16"/>
      <c r="B65" s="6"/>
      <c r="C65" s="7"/>
      <c r="D65" s="3"/>
      <c r="E65" s="32"/>
      <c r="F65" s="5"/>
      <c r="G65" s="25"/>
      <c r="H65" s="25"/>
    </row>
    <row r="66" spans="1:8" s="4" customFormat="1" ht="15" customHeight="1" x14ac:dyDescent="0.25">
      <c r="A66" s="12">
        <v>8</v>
      </c>
      <c r="B66" s="13"/>
      <c r="C66" s="30" t="s">
        <v>180</v>
      </c>
      <c r="D66" s="14"/>
      <c r="E66" s="15"/>
      <c r="F66" s="15"/>
      <c r="G66" s="15"/>
      <c r="H66" s="29">
        <f>SUM(H67:H70)</f>
        <v>1989.35</v>
      </c>
    </row>
    <row r="67" spans="1:8" s="49" customFormat="1" ht="38.25" x14ac:dyDescent="0.25">
      <c r="A67" s="48" t="s">
        <v>149</v>
      </c>
      <c r="B67" s="57" t="s">
        <v>181</v>
      </c>
      <c r="C67" s="58" t="s">
        <v>182</v>
      </c>
      <c r="D67" s="3" t="s">
        <v>27</v>
      </c>
      <c r="E67" s="32">
        <f>'Mem. Cálculo'!H66</f>
        <v>21.636999999999997</v>
      </c>
      <c r="F67" s="5">
        <v>11.78</v>
      </c>
      <c r="G67" s="25">
        <f t="shared" ref="G67:G68" si="18">ROUND((F67+F67*H$7),2)</f>
        <v>15.42</v>
      </c>
      <c r="H67" s="25">
        <f t="shared" ref="H67:H68" si="19">ROUND((E67*G67),2)</f>
        <v>333.64</v>
      </c>
    </row>
    <row r="68" spans="1:8" s="49" customFormat="1" ht="12.75" x14ac:dyDescent="0.25">
      <c r="A68" s="48" t="s">
        <v>150</v>
      </c>
      <c r="B68" s="57" t="s">
        <v>357</v>
      </c>
      <c r="C68" s="7" t="s">
        <v>279</v>
      </c>
      <c r="D68" s="3" t="s">
        <v>27</v>
      </c>
      <c r="E68" s="32">
        <f>'Mem. Cálculo'!H67</f>
        <v>12.3</v>
      </c>
      <c r="F68" s="5">
        <f>ROUND((F69/10),2)</f>
        <v>31.81</v>
      </c>
      <c r="G68" s="25">
        <f t="shared" si="18"/>
        <v>41.64</v>
      </c>
      <c r="H68" s="25">
        <f t="shared" si="19"/>
        <v>512.16999999999996</v>
      </c>
    </row>
    <row r="69" spans="1:8" s="4" customFormat="1" ht="12.75" customHeight="1" x14ac:dyDescent="0.25">
      <c r="A69" s="48" t="s">
        <v>151</v>
      </c>
      <c r="B69" s="6" t="s">
        <v>142</v>
      </c>
      <c r="C69" s="7" t="s">
        <v>146</v>
      </c>
      <c r="D69" s="3" t="s">
        <v>30</v>
      </c>
      <c r="E69" s="32">
        <f>'Mem. Cálculo'!H68</f>
        <v>0.7752</v>
      </c>
      <c r="F69" s="5">
        <v>318.08999999999997</v>
      </c>
      <c r="G69" s="25">
        <f t="shared" si="0"/>
        <v>416.41</v>
      </c>
      <c r="H69" s="25">
        <f t="shared" si="1"/>
        <v>322.8</v>
      </c>
    </row>
    <row r="70" spans="1:8" s="4" customFormat="1" ht="12.75" customHeight="1" x14ac:dyDescent="0.25">
      <c r="A70" s="48" t="s">
        <v>152</v>
      </c>
      <c r="B70" s="6" t="s">
        <v>142</v>
      </c>
      <c r="C70" s="7" t="s">
        <v>147</v>
      </c>
      <c r="D70" s="3" t="s">
        <v>30</v>
      </c>
      <c r="E70" s="32">
        <f>'Mem. Cálculo'!H69</f>
        <v>1.9709999999999999</v>
      </c>
      <c r="F70" s="5">
        <v>318.08999999999997</v>
      </c>
      <c r="G70" s="25">
        <f t="shared" ref="G70" si="20">ROUND((F70+F70*H$7),2)</f>
        <v>416.41</v>
      </c>
      <c r="H70" s="25">
        <f t="shared" ref="H70" si="21">ROUND((E70*G70),2)</f>
        <v>820.74</v>
      </c>
    </row>
    <row r="71" spans="1:8" s="4" customFormat="1" ht="12.75" customHeight="1" x14ac:dyDescent="0.25">
      <c r="A71" s="16"/>
      <c r="B71" s="6"/>
      <c r="C71" s="7"/>
      <c r="D71" s="3"/>
      <c r="E71" s="32"/>
      <c r="F71" s="5"/>
      <c r="G71" s="25"/>
      <c r="H71" s="25"/>
    </row>
    <row r="72" spans="1:8" s="4" customFormat="1" ht="15" customHeight="1" x14ac:dyDescent="0.25">
      <c r="A72" s="12">
        <v>9</v>
      </c>
      <c r="B72" s="13"/>
      <c r="C72" s="30" t="s">
        <v>165</v>
      </c>
      <c r="D72" s="14"/>
      <c r="E72" s="15"/>
      <c r="F72" s="15"/>
      <c r="G72" s="15"/>
      <c r="H72" s="29">
        <f>SUM(H73:H73)</f>
        <v>10158.57</v>
      </c>
    </row>
    <row r="73" spans="1:8" s="4" customFormat="1" ht="49.5" customHeight="1" x14ac:dyDescent="0.25">
      <c r="A73" s="16" t="s">
        <v>166</v>
      </c>
      <c r="B73" s="6" t="s">
        <v>39</v>
      </c>
      <c r="C73" s="2" t="s">
        <v>330</v>
      </c>
      <c r="D73" s="3" t="s">
        <v>30</v>
      </c>
      <c r="E73" s="32">
        <f>'Mem. Cálculo'!H72</f>
        <v>22.72</v>
      </c>
      <c r="F73" s="5">
        <f>ROUND(((14410)/(22.72+19.47)),2)</f>
        <v>341.55</v>
      </c>
      <c r="G73" s="25">
        <f t="shared" ref="G73:G78" si="22">ROUND((F73+F73*H$7),2)</f>
        <v>447.12</v>
      </c>
      <c r="H73" s="25">
        <f t="shared" ref="H73:H78" si="23">ROUND((E73*G73),2)</f>
        <v>10158.57</v>
      </c>
    </row>
    <row r="74" spans="1:8" s="4" customFormat="1" ht="12.75" customHeight="1" x14ac:dyDescent="0.25">
      <c r="A74" s="16"/>
      <c r="B74" s="6"/>
      <c r="C74" s="7"/>
      <c r="D74" s="3"/>
      <c r="E74" s="32"/>
      <c r="F74" s="5"/>
      <c r="G74" s="25"/>
      <c r="H74" s="25"/>
    </row>
    <row r="75" spans="1:8" s="4" customFormat="1" ht="12.75" customHeight="1" x14ac:dyDescent="0.25">
      <c r="A75" s="12">
        <v>10</v>
      </c>
      <c r="B75" s="13"/>
      <c r="C75" s="30" t="s">
        <v>167</v>
      </c>
      <c r="D75" s="14"/>
      <c r="E75" s="15"/>
      <c r="F75" s="15"/>
      <c r="G75" s="15"/>
      <c r="H75" s="29">
        <f>SUM(H76:H81)</f>
        <v>21654.690000000002</v>
      </c>
    </row>
    <row r="76" spans="1:8" s="4" customFormat="1" ht="63.75" customHeight="1" x14ac:dyDescent="0.25">
      <c r="A76" s="16" t="s">
        <v>168</v>
      </c>
      <c r="B76" s="6" t="s">
        <v>39</v>
      </c>
      <c r="C76" s="7" t="s">
        <v>169</v>
      </c>
      <c r="D76" s="3" t="s">
        <v>30</v>
      </c>
      <c r="E76" s="32">
        <f>'Mem. Cálculo'!H75</f>
        <v>27.5</v>
      </c>
      <c r="F76" s="5">
        <v>150</v>
      </c>
      <c r="G76" s="25">
        <f t="shared" si="22"/>
        <v>196.37</v>
      </c>
      <c r="H76" s="25">
        <f t="shared" si="23"/>
        <v>5400.18</v>
      </c>
    </row>
    <row r="77" spans="1:8" s="4" customFormat="1" ht="81" customHeight="1" x14ac:dyDescent="0.25">
      <c r="A77" s="16" t="s">
        <v>331</v>
      </c>
      <c r="B77" s="6" t="s">
        <v>39</v>
      </c>
      <c r="C77" s="7" t="s">
        <v>370</v>
      </c>
      <c r="D77" s="3" t="s">
        <v>30</v>
      </c>
      <c r="E77" s="32">
        <f>'Mem. Cálculo'!H76</f>
        <v>44.9955</v>
      </c>
      <c r="F77" s="5">
        <v>80</v>
      </c>
      <c r="G77" s="25">
        <f t="shared" si="22"/>
        <v>104.73</v>
      </c>
      <c r="H77" s="25">
        <f t="shared" si="23"/>
        <v>4712.38</v>
      </c>
    </row>
    <row r="78" spans="1:8" s="4" customFormat="1" ht="28.5" customHeight="1" x14ac:dyDescent="0.25">
      <c r="A78" s="16" t="s">
        <v>332</v>
      </c>
      <c r="B78" s="6" t="s">
        <v>306</v>
      </c>
      <c r="C78" s="2" t="s">
        <v>305</v>
      </c>
      <c r="D78" s="3" t="s">
        <v>30</v>
      </c>
      <c r="E78" s="32">
        <f>'Mem. Cálculo'!H77</f>
        <v>72.495499999999993</v>
      </c>
      <c r="F78" s="5">
        <v>66.400000000000006</v>
      </c>
      <c r="G78" s="25">
        <f t="shared" si="22"/>
        <v>86.92</v>
      </c>
      <c r="H78" s="25">
        <f t="shared" si="23"/>
        <v>6301.31</v>
      </c>
    </row>
    <row r="79" spans="1:8" s="4" customFormat="1" ht="36.75" customHeight="1" x14ac:dyDescent="0.25">
      <c r="A79" s="16" t="s">
        <v>333</v>
      </c>
      <c r="B79" s="6" t="s">
        <v>170</v>
      </c>
      <c r="C79" s="7" t="s">
        <v>171</v>
      </c>
      <c r="D79" s="3" t="s">
        <v>27</v>
      </c>
      <c r="E79" s="32">
        <f>'Mem. Cálculo'!H78</f>
        <v>18.11</v>
      </c>
      <c r="F79" s="5">
        <v>45.74</v>
      </c>
      <c r="G79" s="25">
        <f t="shared" ref="G79" si="24">ROUND((F79+F79*H$7),2)</f>
        <v>59.88</v>
      </c>
      <c r="H79" s="25">
        <f t="shared" ref="H79" si="25">ROUND((E79*G79),2)</f>
        <v>1084.43</v>
      </c>
    </row>
    <row r="80" spans="1:8" s="4" customFormat="1" ht="12.75" customHeight="1" x14ac:dyDescent="0.25">
      <c r="A80" s="16" t="s">
        <v>359</v>
      </c>
      <c r="B80" s="6" t="s">
        <v>172</v>
      </c>
      <c r="C80" s="7" t="s">
        <v>173</v>
      </c>
      <c r="D80" s="3" t="s">
        <v>27</v>
      </c>
      <c r="E80" s="32">
        <f>'Mem. Cálculo'!H79</f>
        <v>24.1</v>
      </c>
      <c r="F80" s="5">
        <v>82.81</v>
      </c>
      <c r="G80" s="25">
        <f t="shared" ref="G80:G81" si="26">ROUND((F80+F80*H$7),2)</f>
        <v>108.41</v>
      </c>
      <c r="H80" s="25">
        <f t="shared" ref="H80:H81" si="27">ROUND((E80*G80),2)</f>
        <v>2612.6799999999998</v>
      </c>
    </row>
    <row r="81" spans="1:8" s="4" customFormat="1" ht="39" customHeight="1" x14ac:dyDescent="0.25">
      <c r="A81" s="16" t="s">
        <v>376</v>
      </c>
      <c r="B81" s="6" t="s">
        <v>360</v>
      </c>
      <c r="C81" s="7" t="s">
        <v>361</v>
      </c>
      <c r="D81" s="3" t="s">
        <v>27</v>
      </c>
      <c r="E81" s="32">
        <f>'Mem. Cálculo'!H80</f>
        <v>32.81</v>
      </c>
      <c r="F81" s="5">
        <v>35.94</v>
      </c>
      <c r="G81" s="25">
        <f t="shared" si="26"/>
        <v>47.05</v>
      </c>
      <c r="H81" s="25">
        <f t="shared" si="27"/>
        <v>1543.71</v>
      </c>
    </row>
    <row r="82" spans="1:8" s="4" customFormat="1" ht="12.75" customHeight="1" x14ac:dyDescent="0.25">
      <c r="A82" s="16"/>
      <c r="B82" s="6"/>
      <c r="C82" s="7"/>
      <c r="D82" s="3"/>
      <c r="E82" s="32"/>
      <c r="F82" s="5"/>
      <c r="G82" s="25"/>
      <c r="H82" s="25"/>
    </row>
    <row r="83" spans="1:8" s="4" customFormat="1" ht="14.25" customHeight="1" x14ac:dyDescent="0.25">
      <c r="A83" s="12">
        <v>11</v>
      </c>
      <c r="B83" s="13"/>
      <c r="C83" s="30" t="s">
        <v>183</v>
      </c>
      <c r="D83" s="14"/>
      <c r="E83" s="15"/>
      <c r="F83" s="15"/>
      <c r="G83" s="15"/>
      <c r="H83" s="29">
        <f>SUM(H84:H98)</f>
        <v>7928.5700000000006</v>
      </c>
    </row>
    <row r="84" spans="1:8" s="4" customFormat="1" ht="38.25" customHeight="1" x14ac:dyDescent="0.25">
      <c r="A84" s="16" t="s">
        <v>174</v>
      </c>
      <c r="B84" s="6" t="s">
        <v>184</v>
      </c>
      <c r="C84" s="7" t="s">
        <v>185</v>
      </c>
      <c r="D84" s="3" t="s">
        <v>186</v>
      </c>
      <c r="E84" s="32">
        <f>'Mem. Cálculo'!H83</f>
        <v>1</v>
      </c>
      <c r="F84" s="5">
        <v>859.18</v>
      </c>
      <c r="G84" s="25">
        <f t="shared" ref="G84:G98" si="28">ROUND((F84+F84*H$7),2)</f>
        <v>1124.75</v>
      </c>
      <c r="H84" s="25">
        <f t="shared" ref="H84:H98" si="29">ROUND((E84*G84),2)</f>
        <v>1124.75</v>
      </c>
    </row>
    <row r="85" spans="1:8" s="4" customFormat="1" ht="63" customHeight="1" x14ac:dyDescent="0.25">
      <c r="A85" s="16" t="s">
        <v>175</v>
      </c>
      <c r="B85" s="6" t="s">
        <v>190</v>
      </c>
      <c r="C85" s="2" t="s">
        <v>187</v>
      </c>
      <c r="D85" s="3" t="s">
        <v>186</v>
      </c>
      <c r="E85" s="32">
        <f>'Mem. Cálculo'!H84</f>
        <v>4</v>
      </c>
      <c r="F85" s="5">
        <v>124.3</v>
      </c>
      <c r="G85" s="25">
        <f t="shared" si="28"/>
        <v>162.72</v>
      </c>
      <c r="H85" s="25">
        <f t="shared" si="29"/>
        <v>650.88</v>
      </c>
    </row>
    <row r="86" spans="1:8" s="4" customFormat="1" ht="75.75" customHeight="1" x14ac:dyDescent="0.25">
      <c r="A86" s="16" t="s">
        <v>176</v>
      </c>
      <c r="B86" s="6" t="s">
        <v>188</v>
      </c>
      <c r="C86" s="7" t="s">
        <v>189</v>
      </c>
      <c r="D86" s="3" t="s">
        <v>186</v>
      </c>
      <c r="E86" s="32">
        <f>'Mem. Cálculo'!H85</f>
        <v>2</v>
      </c>
      <c r="F86" s="5">
        <v>143.18</v>
      </c>
      <c r="G86" s="25">
        <f t="shared" si="28"/>
        <v>187.44</v>
      </c>
      <c r="H86" s="25">
        <f t="shared" si="29"/>
        <v>374.88</v>
      </c>
    </row>
    <row r="87" spans="1:8" s="4" customFormat="1" ht="12.75" customHeight="1" x14ac:dyDescent="0.25">
      <c r="A87" s="16" t="s">
        <v>177</v>
      </c>
      <c r="B87" s="6" t="s">
        <v>192</v>
      </c>
      <c r="C87" s="7" t="s">
        <v>191</v>
      </c>
      <c r="D87" s="3" t="s">
        <v>186</v>
      </c>
      <c r="E87" s="32">
        <f>'Mem. Cálculo'!H86</f>
        <v>2</v>
      </c>
      <c r="F87" s="5">
        <v>65.28</v>
      </c>
      <c r="G87" s="25">
        <f t="shared" si="28"/>
        <v>85.46</v>
      </c>
      <c r="H87" s="25">
        <f t="shared" si="29"/>
        <v>170.92</v>
      </c>
    </row>
    <row r="88" spans="1:8" s="4" customFormat="1" ht="64.5" customHeight="1" x14ac:dyDescent="0.25">
      <c r="A88" s="16" t="s">
        <v>334</v>
      </c>
      <c r="B88" s="6" t="s">
        <v>193</v>
      </c>
      <c r="C88" s="7" t="s">
        <v>194</v>
      </c>
      <c r="D88" s="3" t="s">
        <v>186</v>
      </c>
      <c r="E88" s="32">
        <f>'Mem. Cálculo'!H87</f>
        <v>2</v>
      </c>
      <c r="F88" s="5">
        <v>257.87</v>
      </c>
      <c r="G88" s="25">
        <f t="shared" si="28"/>
        <v>337.58</v>
      </c>
      <c r="H88" s="25">
        <f t="shared" si="29"/>
        <v>675.16</v>
      </c>
    </row>
    <row r="89" spans="1:8" s="4" customFormat="1" ht="25.5" customHeight="1" x14ac:dyDescent="0.25">
      <c r="A89" s="16" t="s">
        <v>335</v>
      </c>
      <c r="B89" s="6" t="s">
        <v>195</v>
      </c>
      <c r="C89" s="7" t="s">
        <v>196</v>
      </c>
      <c r="D89" s="3" t="s">
        <v>27</v>
      </c>
      <c r="E89" s="32">
        <f>'Mem. Cálculo'!H88</f>
        <v>6</v>
      </c>
      <c r="F89" s="5">
        <v>27.51</v>
      </c>
      <c r="G89" s="25">
        <f t="shared" ref="G89:G96" si="30">ROUND((F89+F89*H$7),2)</f>
        <v>36.01</v>
      </c>
      <c r="H89" s="25">
        <f t="shared" ref="H89:H96" si="31">ROUND((E89*G89),2)</f>
        <v>216.06</v>
      </c>
    </row>
    <row r="90" spans="1:8" s="4" customFormat="1" ht="26.25" customHeight="1" x14ac:dyDescent="0.25">
      <c r="A90" s="16" t="s">
        <v>336</v>
      </c>
      <c r="B90" s="6" t="s">
        <v>198</v>
      </c>
      <c r="C90" s="7" t="s">
        <v>197</v>
      </c>
      <c r="D90" s="3" t="s">
        <v>27</v>
      </c>
      <c r="E90" s="32">
        <f>'Mem. Cálculo'!H89</f>
        <v>18</v>
      </c>
      <c r="F90" s="5">
        <v>39.43</v>
      </c>
      <c r="G90" s="25">
        <f t="shared" si="30"/>
        <v>51.62</v>
      </c>
      <c r="H90" s="25">
        <f t="shared" si="31"/>
        <v>929.16</v>
      </c>
    </row>
    <row r="91" spans="1:8" s="4" customFormat="1" ht="24" customHeight="1" x14ac:dyDescent="0.25">
      <c r="A91" s="16" t="s">
        <v>337</v>
      </c>
      <c r="B91" s="6" t="s">
        <v>199</v>
      </c>
      <c r="C91" s="7" t="s">
        <v>200</v>
      </c>
      <c r="D91" s="3" t="s">
        <v>27</v>
      </c>
      <c r="E91" s="32">
        <f>'Mem. Cálculo'!H90</f>
        <v>24</v>
      </c>
      <c r="F91" s="5">
        <v>19.39</v>
      </c>
      <c r="G91" s="25">
        <f t="shared" si="30"/>
        <v>25.38</v>
      </c>
      <c r="H91" s="25">
        <f t="shared" si="31"/>
        <v>609.12</v>
      </c>
    </row>
    <row r="92" spans="1:8" s="4" customFormat="1" ht="25.5" customHeight="1" x14ac:dyDescent="0.25">
      <c r="A92" s="16" t="s">
        <v>338</v>
      </c>
      <c r="B92" s="6" t="s">
        <v>201</v>
      </c>
      <c r="C92" s="7" t="s">
        <v>202</v>
      </c>
      <c r="D92" s="3" t="s">
        <v>27</v>
      </c>
      <c r="E92" s="32">
        <f>'Mem. Cálculo'!H91</f>
        <v>6</v>
      </c>
      <c r="F92" s="5">
        <v>32.26</v>
      </c>
      <c r="G92" s="25">
        <f t="shared" si="30"/>
        <v>42.23</v>
      </c>
      <c r="H92" s="25">
        <f t="shared" si="31"/>
        <v>253.38</v>
      </c>
    </row>
    <row r="93" spans="1:8" s="4" customFormat="1" ht="42" customHeight="1" x14ac:dyDescent="0.25">
      <c r="A93" s="16" t="s">
        <v>339</v>
      </c>
      <c r="B93" s="6" t="s">
        <v>203</v>
      </c>
      <c r="C93" s="7" t="s">
        <v>204</v>
      </c>
      <c r="D93" s="3" t="s">
        <v>186</v>
      </c>
      <c r="E93" s="32">
        <f>'Mem. Cálculo'!H92</f>
        <v>1</v>
      </c>
      <c r="F93" s="5">
        <v>121.18</v>
      </c>
      <c r="G93" s="25">
        <f t="shared" si="30"/>
        <v>158.63999999999999</v>
      </c>
      <c r="H93" s="25">
        <f t="shared" si="31"/>
        <v>158.63999999999999</v>
      </c>
    </row>
    <row r="94" spans="1:8" s="4" customFormat="1" ht="64.5" customHeight="1" x14ac:dyDescent="0.25">
      <c r="A94" s="16" t="s">
        <v>340</v>
      </c>
      <c r="B94" s="6" t="s">
        <v>205</v>
      </c>
      <c r="C94" s="7" t="s">
        <v>206</v>
      </c>
      <c r="D94" s="3" t="s">
        <v>186</v>
      </c>
      <c r="E94" s="32">
        <f>'Mem. Cálculo'!H93</f>
        <v>1</v>
      </c>
      <c r="F94" s="5">
        <v>895.7</v>
      </c>
      <c r="G94" s="25">
        <f t="shared" si="30"/>
        <v>1172.56</v>
      </c>
      <c r="H94" s="25">
        <f t="shared" si="31"/>
        <v>1172.56</v>
      </c>
    </row>
    <row r="95" spans="1:8" s="4" customFormat="1" ht="64.5" customHeight="1" x14ac:dyDescent="0.25">
      <c r="A95" s="16" t="s">
        <v>341</v>
      </c>
      <c r="B95" s="6" t="s">
        <v>207</v>
      </c>
      <c r="C95" s="7" t="s">
        <v>208</v>
      </c>
      <c r="D95" s="3" t="s">
        <v>186</v>
      </c>
      <c r="E95" s="32">
        <f>'Mem. Cálculo'!H94</f>
        <v>1</v>
      </c>
      <c r="F95" s="5">
        <v>482.92</v>
      </c>
      <c r="G95" s="25">
        <f t="shared" si="30"/>
        <v>632.19000000000005</v>
      </c>
      <c r="H95" s="25">
        <f t="shared" si="31"/>
        <v>632.19000000000005</v>
      </c>
    </row>
    <row r="96" spans="1:8" s="4" customFormat="1" ht="51.75" customHeight="1" x14ac:dyDescent="0.25">
      <c r="A96" s="16" t="s">
        <v>342</v>
      </c>
      <c r="B96" s="6" t="s">
        <v>209</v>
      </c>
      <c r="C96" s="7" t="s">
        <v>210</v>
      </c>
      <c r="D96" s="3" t="s">
        <v>186</v>
      </c>
      <c r="E96" s="32">
        <f>'Mem. Cálculo'!H95</f>
        <v>1</v>
      </c>
      <c r="F96" s="5">
        <v>159.44999999999999</v>
      </c>
      <c r="G96" s="25">
        <f t="shared" si="30"/>
        <v>208.74</v>
      </c>
      <c r="H96" s="25">
        <f t="shared" si="31"/>
        <v>208.74</v>
      </c>
    </row>
    <row r="97" spans="1:8" s="4" customFormat="1" ht="27.75" customHeight="1" x14ac:dyDescent="0.25">
      <c r="A97" s="16" t="s">
        <v>343</v>
      </c>
      <c r="B97" s="6" t="s">
        <v>211</v>
      </c>
      <c r="C97" s="7" t="s">
        <v>212</v>
      </c>
      <c r="D97" s="3" t="s">
        <v>186</v>
      </c>
      <c r="E97" s="32">
        <f>'Mem. Cálculo'!H96</f>
        <v>1</v>
      </c>
      <c r="F97" s="5">
        <v>70.69</v>
      </c>
      <c r="G97" s="25">
        <f t="shared" si="28"/>
        <v>92.54</v>
      </c>
      <c r="H97" s="25">
        <f t="shared" si="29"/>
        <v>92.54</v>
      </c>
    </row>
    <row r="98" spans="1:8" s="4" customFormat="1" ht="12.75" customHeight="1" x14ac:dyDescent="0.25">
      <c r="A98" s="16" t="s">
        <v>344</v>
      </c>
      <c r="B98" s="6" t="s">
        <v>142</v>
      </c>
      <c r="C98" s="7" t="s">
        <v>213</v>
      </c>
      <c r="D98" s="3" t="s">
        <v>30</v>
      </c>
      <c r="E98" s="32">
        <f>'Mem. Cálculo'!H97</f>
        <v>1.5840000000000001</v>
      </c>
      <c r="F98" s="5">
        <f>318.09</f>
        <v>318.08999999999997</v>
      </c>
      <c r="G98" s="25">
        <f t="shared" si="28"/>
        <v>416.41</v>
      </c>
      <c r="H98" s="25">
        <f t="shared" si="29"/>
        <v>659.59</v>
      </c>
    </row>
    <row r="99" spans="1:8" s="4" customFormat="1" ht="12.75" customHeight="1" x14ac:dyDescent="0.25">
      <c r="A99" s="16"/>
      <c r="B99" s="6"/>
      <c r="C99" s="7"/>
      <c r="D99" s="3"/>
      <c r="E99" s="32"/>
      <c r="F99" s="5"/>
      <c r="G99" s="25"/>
      <c r="H99" s="25"/>
    </row>
    <row r="100" spans="1:8" s="4" customFormat="1" ht="14.25" customHeight="1" x14ac:dyDescent="0.25">
      <c r="A100" s="12">
        <v>12</v>
      </c>
      <c r="B100" s="13"/>
      <c r="C100" s="30" t="s">
        <v>221</v>
      </c>
      <c r="D100" s="14"/>
      <c r="E100" s="15"/>
      <c r="F100" s="15"/>
      <c r="G100" s="15"/>
      <c r="H100" s="29">
        <f>SUM(H101:H109)</f>
        <v>6970.3499999999985</v>
      </c>
    </row>
    <row r="101" spans="1:8" s="4" customFormat="1" ht="104.25" customHeight="1" x14ac:dyDescent="0.25">
      <c r="A101" s="48" t="s">
        <v>178</v>
      </c>
      <c r="B101" s="57" t="s">
        <v>224</v>
      </c>
      <c r="C101" s="58" t="s">
        <v>222</v>
      </c>
      <c r="D101" s="3" t="s">
        <v>186</v>
      </c>
      <c r="E101" s="32">
        <f>'Mem. Cálculo'!H100</f>
        <v>5</v>
      </c>
      <c r="F101" s="5">
        <v>229.95</v>
      </c>
      <c r="G101" s="25">
        <f t="shared" ref="G101:G106" si="32">ROUND((F101+F101*H$7),2)</f>
        <v>301.02999999999997</v>
      </c>
      <c r="H101" s="25">
        <f t="shared" ref="H101:H106" si="33">ROUND((E101*G101),2)</f>
        <v>1505.15</v>
      </c>
    </row>
    <row r="102" spans="1:8" s="4" customFormat="1" ht="88.5" customHeight="1" x14ac:dyDescent="0.25">
      <c r="A102" s="48" t="s">
        <v>179</v>
      </c>
      <c r="B102" s="57" t="s">
        <v>226</v>
      </c>
      <c r="C102" s="58" t="s">
        <v>225</v>
      </c>
      <c r="D102" s="3" t="s">
        <v>186</v>
      </c>
      <c r="E102" s="32">
        <f>'Mem. Cálculo'!H101</f>
        <v>4</v>
      </c>
      <c r="F102" s="5">
        <v>143.26</v>
      </c>
      <c r="G102" s="25">
        <f t="shared" si="32"/>
        <v>187.54</v>
      </c>
      <c r="H102" s="25">
        <f t="shared" si="33"/>
        <v>750.16</v>
      </c>
    </row>
    <row r="103" spans="1:8" s="4" customFormat="1" ht="112.5" customHeight="1" x14ac:dyDescent="0.25">
      <c r="A103" s="48" t="s">
        <v>214</v>
      </c>
      <c r="B103" s="57" t="s">
        <v>227</v>
      </c>
      <c r="C103" s="58" t="s">
        <v>228</v>
      </c>
      <c r="D103" s="3" t="s">
        <v>186</v>
      </c>
      <c r="E103" s="32">
        <f>'Mem. Cálculo'!H102</f>
        <v>9</v>
      </c>
      <c r="F103" s="5">
        <v>282.14999999999998</v>
      </c>
      <c r="G103" s="25">
        <f t="shared" si="32"/>
        <v>369.36</v>
      </c>
      <c r="H103" s="25">
        <f t="shared" si="33"/>
        <v>3324.24</v>
      </c>
    </row>
    <row r="104" spans="1:8" s="4" customFormat="1" ht="24" customHeight="1" x14ac:dyDescent="0.25">
      <c r="A104" s="48" t="s">
        <v>215</v>
      </c>
      <c r="B104" s="57" t="s">
        <v>229</v>
      </c>
      <c r="C104" s="58" t="s">
        <v>230</v>
      </c>
      <c r="D104" s="3" t="s">
        <v>186</v>
      </c>
      <c r="E104" s="32">
        <f>'Mem. Cálculo'!H103</f>
        <v>1</v>
      </c>
      <c r="F104" s="5">
        <v>113.93</v>
      </c>
      <c r="G104" s="25">
        <f t="shared" si="32"/>
        <v>149.15</v>
      </c>
      <c r="H104" s="25">
        <f t="shared" si="33"/>
        <v>149.15</v>
      </c>
    </row>
    <row r="105" spans="1:8" s="4" customFormat="1" ht="13.5" customHeight="1" x14ac:dyDescent="0.25">
      <c r="A105" s="48" t="s">
        <v>216</v>
      </c>
      <c r="B105" s="57" t="s">
        <v>231</v>
      </c>
      <c r="C105" s="58" t="s">
        <v>232</v>
      </c>
      <c r="D105" s="3" t="s">
        <v>186</v>
      </c>
      <c r="E105" s="32">
        <f>'Mem. Cálculo'!H104</f>
        <v>2</v>
      </c>
      <c r="F105" s="5">
        <v>21.89</v>
      </c>
      <c r="G105" s="25">
        <f t="shared" si="32"/>
        <v>28.66</v>
      </c>
      <c r="H105" s="25">
        <f t="shared" si="33"/>
        <v>57.32</v>
      </c>
    </row>
    <row r="106" spans="1:8" s="4" customFormat="1" ht="23.25" customHeight="1" x14ac:dyDescent="0.25">
      <c r="A106" s="48" t="s">
        <v>217</v>
      </c>
      <c r="B106" s="57" t="s">
        <v>39</v>
      </c>
      <c r="C106" s="58" t="s">
        <v>233</v>
      </c>
      <c r="D106" s="3" t="s">
        <v>186</v>
      </c>
      <c r="E106" s="32">
        <f>'Mem. Cálculo'!H105</f>
        <v>3</v>
      </c>
      <c r="F106" s="5">
        <v>28.2</v>
      </c>
      <c r="G106" s="25">
        <f t="shared" si="32"/>
        <v>36.92</v>
      </c>
      <c r="H106" s="25">
        <f t="shared" si="33"/>
        <v>110.76</v>
      </c>
    </row>
    <row r="107" spans="1:8" s="4" customFormat="1" ht="26.25" customHeight="1" x14ac:dyDescent="0.25">
      <c r="A107" s="48" t="s">
        <v>218</v>
      </c>
      <c r="B107" s="57" t="s">
        <v>39</v>
      </c>
      <c r="C107" s="58" t="s">
        <v>234</v>
      </c>
      <c r="D107" s="3" t="s">
        <v>186</v>
      </c>
      <c r="E107" s="32">
        <f>'Mem. Cálculo'!H106</f>
        <v>2</v>
      </c>
      <c r="F107" s="5">
        <v>28.5</v>
      </c>
      <c r="G107" s="25">
        <f t="shared" ref="G107" si="34">ROUND((F107+F107*H$7),2)</f>
        <v>37.31</v>
      </c>
      <c r="H107" s="25">
        <f t="shared" ref="H107" si="35">ROUND((E107*G107),2)</f>
        <v>74.62</v>
      </c>
    </row>
    <row r="108" spans="1:8" s="4" customFormat="1" ht="12.75" customHeight="1" x14ac:dyDescent="0.25">
      <c r="A108" s="48" t="s">
        <v>219</v>
      </c>
      <c r="B108" s="6" t="s">
        <v>235</v>
      </c>
      <c r="C108" s="7" t="s">
        <v>236</v>
      </c>
      <c r="D108" s="3" t="s">
        <v>186</v>
      </c>
      <c r="E108" s="32">
        <f>'Mem. Cálculo'!H107</f>
        <v>1</v>
      </c>
      <c r="F108" s="5">
        <v>119.13</v>
      </c>
      <c r="G108" s="25">
        <f t="shared" ref="G108:G109" si="36">ROUND((F108+F108*H$7),2)</f>
        <v>155.94999999999999</v>
      </c>
      <c r="H108" s="25">
        <f t="shared" ref="H108:H109" si="37">ROUND((E108*G108),2)</f>
        <v>155.94999999999999</v>
      </c>
    </row>
    <row r="109" spans="1:8" s="4" customFormat="1" ht="12.75" customHeight="1" x14ac:dyDescent="0.25">
      <c r="A109" s="48" t="s">
        <v>220</v>
      </c>
      <c r="B109" s="6" t="s">
        <v>237</v>
      </c>
      <c r="C109" s="7" t="s">
        <v>238</v>
      </c>
      <c r="D109" s="3" t="s">
        <v>27</v>
      </c>
      <c r="E109" s="32">
        <f>'Mem. Cálculo'!H108</f>
        <v>100</v>
      </c>
      <c r="F109" s="5">
        <v>6.44</v>
      </c>
      <c r="G109" s="25">
        <f t="shared" si="36"/>
        <v>8.43</v>
      </c>
      <c r="H109" s="25">
        <f t="shared" si="37"/>
        <v>843</v>
      </c>
    </row>
    <row r="110" spans="1:8" s="4" customFormat="1" ht="12.75" customHeight="1" x14ac:dyDescent="0.25">
      <c r="A110" s="48"/>
      <c r="B110" s="6"/>
      <c r="C110" s="7"/>
      <c r="D110" s="3"/>
      <c r="E110" s="32"/>
      <c r="F110" s="5"/>
      <c r="G110" s="25"/>
      <c r="H110" s="25"/>
    </row>
    <row r="111" spans="1:8" s="4" customFormat="1" ht="12.75" customHeight="1" x14ac:dyDescent="0.25">
      <c r="A111" s="12">
        <v>13</v>
      </c>
      <c r="B111" s="13"/>
      <c r="C111" s="30" t="s">
        <v>239</v>
      </c>
      <c r="D111" s="14"/>
      <c r="E111" s="15"/>
      <c r="F111" s="15"/>
      <c r="G111" s="15"/>
      <c r="H111" s="29">
        <f>SUM(H112:H112)</f>
        <v>2502.06</v>
      </c>
    </row>
    <row r="112" spans="1:8" s="4" customFormat="1" ht="39" customHeight="1" x14ac:dyDescent="0.25">
      <c r="A112" s="48" t="s">
        <v>223</v>
      </c>
      <c r="B112" s="6" t="s">
        <v>240</v>
      </c>
      <c r="C112" s="7" t="s">
        <v>241</v>
      </c>
      <c r="D112" s="3" t="s">
        <v>30</v>
      </c>
      <c r="E112" s="32">
        <f>'Mem. Cálculo'!H111</f>
        <v>45.065999999999995</v>
      </c>
      <c r="F112" s="5">
        <v>42.41</v>
      </c>
      <c r="G112" s="25">
        <f t="shared" ref="G112" si="38">ROUND((F112+F112*H$7),2)</f>
        <v>55.52</v>
      </c>
      <c r="H112" s="25">
        <f t="shared" ref="H112" si="39">ROUND((E112*G112),2)</f>
        <v>2502.06</v>
      </c>
    </row>
    <row r="113" spans="1:8" s="4" customFormat="1" ht="12.75" customHeight="1" x14ac:dyDescent="0.25">
      <c r="A113" s="48"/>
      <c r="B113" s="6"/>
      <c r="C113" s="7"/>
      <c r="D113" s="3"/>
      <c r="E113" s="32"/>
      <c r="F113" s="5"/>
      <c r="G113" s="25"/>
      <c r="H113" s="25"/>
    </row>
    <row r="114" spans="1:8" s="4" customFormat="1" ht="15" customHeight="1" x14ac:dyDescent="0.25">
      <c r="A114" s="12">
        <v>14</v>
      </c>
      <c r="B114" s="13"/>
      <c r="C114" s="30" t="s">
        <v>243</v>
      </c>
      <c r="D114" s="14"/>
      <c r="E114" s="15"/>
      <c r="F114" s="15"/>
      <c r="G114" s="15"/>
      <c r="H114" s="29">
        <f>SUM(H115:H115)</f>
        <v>351.57</v>
      </c>
    </row>
    <row r="115" spans="1:8" s="4" customFormat="1" ht="26.25" customHeight="1" x14ac:dyDescent="0.25">
      <c r="A115" s="48" t="s">
        <v>242</v>
      </c>
      <c r="B115" s="6" t="s">
        <v>244</v>
      </c>
      <c r="C115" s="7" t="s">
        <v>245</v>
      </c>
      <c r="D115" s="3" t="s">
        <v>30</v>
      </c>
      <c r="E115" s="32">
        <f>'Mem. Cálculo'!H114</f>
        <v>5.22</v>
      </c>
      <c r="F115" s="5">
        <v>51.45</v>
      </c>
      <c r="G115" s="25">
        <f t="shared" ref="G115" si="40">ROUND((F115+F115*H$7),2)</f>
        <v>67.349999999999994</v>
      </c>
      <c r="H115" s="25">
        <f t="shared" ref="H115" si="41">ROUND((E115*G115),2)</f>
        <v>351.57</v>
      </c>
    </row>
    <row r="116" spans="1:8" s="4" customFormat="1" ht="12.75" customHeight="1" x14ac:dyDescent="0.25">
      <c r="A116" s="48"/>
      <c r="B116" s="6"/>
      <c r="C116" s="7"/>
      <c r="D116" s="3"/>
      <c r="E116" s="32"/>
      <c r="F116" s="5"/>
      <c r="G116" s="25"/>
      <c r="H116" s="25"/>
    </row>
    <row r="117" spans="1:8" s="4" customFormat="1" ht="14.25" customHeight="1" x14ac:dyDescent="0.25">
      <c r="A117" s="12">
        <v>15</v>
      </c>
      <c r="B117" s="13"/>
      <c r="C117" s="30" t="s">
        <v>148</v>
      </c>
      <c r="D117" s="14"/>
      <c r="E117" s="15"/>
      <c r="F117" s="15"/>
      <c r="G117" s="15"/>
      <c r="H117" s="29">
        <f>SUM(H118:H123)</f>
        <v>9931.57</v>
      </c>
    </row>
    <row r="118" spans="1:8" s="4" customFormat="1" ht="24" customHeight="1" x14ac:dyDescent="0.25">
      <c r="A118" s="48" t="s">
        <v>345</v>
      </c>
      <c r="B118" s="57" t="s">
        <v>153</v>
      </c>
      <c r="C118" s="58" t="s">
        <v>154</v>
      </c>
      <c r="D118" s="3" t="s">
        <v>30</v>
      </c>
      <c r="E118" s="32">
        <f>'Mem. Cálculo'!H117</f>
        <v>146.114</v>
      </c>
      <c r="F118" s="5">
        <v>5.76</v>
      </c>
      <c r="G118" s="25">
        <f t="shared" ref="G118:G123" si="42">ROUND((F118+F118*H$7),2)</f>
        <v>7.54</v>
      </c>
      <c r="H118" s="25">
        <f t="shared" ref="H118:H123" si="43">ROUND((E118*G118),2)</f>
        <v>1101.7</v>
      </c>
    </row>
    <row r="119" spans="1:8" s="4" customFormat="1" ht="27" customHeight="1" x14ac:dyDescent="0.25">
      <c r="A119" s="48" t="s">
        <v>346</v>
      </c>
      <c r="B119" s="57" t="s">
        <v>156</v>
      </c>
      <c r="C119" s="58" t="s">
        <v>155</v>
      </c>
      <c r="D119" s="3" t="s">
        <v>30</v>
      </c>
      <c r="E119" s="32">
        <f>'Mem. Cálculo'!H118</f>
        <v>138.28399999999999</v>
      </c>
      <c r="F119" s="5">
        <v>20.9</v>
      </c>
      <c r="G119" s="25">
        <f t="shared" si="42"/>
        <v>27.36</v>
      </c>
      <c r="H119" s="25">
        <f t="shared" si="43"/>
        <v>3783.45</v>
      </c>
    </row>
    <row r="120" spans="1:8" s="4" customFormat="1" ht="25.5" customHeight="1" x14ac:dyDescent="0.25">
      <c r="A120" s="48" t="s">
        <v>347</v>
      </c>
      <c r="B120" s="57" t="s">
        <v>158</v>
      </c>
      <c r="C120" s="58" t="s">
        <v>157</v>
      </c>
      <c r="D120" s="3" t="s">
        <v>30</v>
      </c>
      <c r="E120" s="32">
        <f>'Mem. Cálculo'!H119</f>
        <v>7.83</v>
      </c>
      <c r="F120" s="5">
        <v>31.85</v>
      </c>
      <c r="G120" s="25">
        <f t="shared" si="42"/>
        <v>41.69</v>
      </c>
      <c r="H120" s="25">
        <f t="shared" si="43"/>
        <v>326.43</v>
      </c>
    </row>
    <row r="121" spans="1:8" s="4" customFormat="1" ht="23.25" customHeight="1" x14ac:dyDescent="0.25">
      <c r="A121" s="48" t="s">
        <v>348</v>
      </c>
      <c r="B121" s="57" t="s">
        <v>160</v>
      </c>
      <c r="C121" s="58" t="s">
        <v>159</v>
      </c>
      <c r="D121" s="3" t="s">
        <v>30</v>
      </c>
      <c r="E121" s="32">
        <f>'Mem. Cálculo'!H120</f>
        <v>168.60399999999998</v>
      </c>
      <c r="F121" s="5">
        <v>14.1</v>
      </c>
      <c r="G121" s="25">
        <f t="shared" si="42"/>
        <v>18.46</v>
      </c>
      <c r="H121" s="25">
        <f t="shared" si="43"/>
        <v>3112.43</v>
      </c>
    </row>
    <row r="122" spans="1:8" s="4" customFormat="1" ht="25.5" customHeight="1" x14ac:dyDescent="0.25">
      <c r="A122" s="48" t="s">
        <v>349</v>
      </c>
      <c r="B122" s="57" t="s">
        <v>161</v>
      </c>
      <c r="C122" s="58" t="s">
        <v>162</v>
      </c>
      <c r="D122" s="3" t="s">
        <v>30</v>
      </c>
      <c r="E122" s="32">
        <f>'Mem. Cálculo'!H121</f>
        <v>7.83</v>
      </c>
      <c r="F122" s="5">
        <v>15.56</v>
      </c>
      <c r="G122" s="25">
        <f t="shared" si="42"/>
        <v>20.37</v>
      </c>
      <c r="H122" s="25">
        <f t="shared" si="43"/>
        <v>159.5</v>
      </c>
    </row>
    <row r="123" spans="1:8" s="4" customFormat="1" ht="27.75" customHeight="1" x14ac:dyDescent="0.25">
      <c r="A123" s="48" t="s">
        <v>350</v>
      </c>
      <c r="B123" s="57" t="s">
        <v>163</v>
      </c>
      <c r="C123" s="58" t="s">
        <v>164</v>
      </c>
      <c r="D123" s="3" t="s">
        <v>30</v>
      </c>
      <c r="E123" s="32">
        <f>'Mem. Cálculo'!H122</f>
        <v>34</v>
      </c>
      <c r="F123" s="5">
        <v>32.53</v>
      </c>
      <c r="G123" s="25">
        <f t="shared" si="42"/>
        <v>42.59</v>
      </c>
      <c r="H123" s="25">
        <f t="shared" si="43"/>
        <v>1448.06</v>
      </c>
    </row>
    <row r="124" spans="1:8" s="4" customFormat="1" ht="12.75" customHeight="1" x14ac:dyDescent="0.25">
      <c r="A124" s="48"/>
      <c r="B124" s="6"/>
      <c r="C124" s="7"/>
      <c r="D124" s="3"/>
      <c r="E124" s="32"/>
      <c r="F124" s="5"/>
      <c r="G124" s="25"/>
      <c r="H124" s="25"/>
    </row>
    <row r="125" spans="1:8" s="4" customFormat="1" ht="14.25" customHeight="1" x14ac:dyDescent="0.25">
      <c r="A125" s="12">
        <v>16</v>
      </c>
      <c r="B125" s="13"/>
      <c r="C125" s="30" t="s">
        <v>248</v>
      </c>
      <c r="D125" s="14"/>
      <c r="E125" s="15"/>
      <c r="F125" s="15"/>
      <c r="G125" s="15"/>
      <c r="H125" s="29">
        <f>SUM(H126:H127)</f>
        <v>6571.16</v>
      </c>
    </row>
    <row r="126" spans="1:8" s="4" customFormat="1" ht="15.75" customHeight="1" x14ac:dyDescent="0.25">
      <c r="A126" s="48" t="s">
        <v>246</v>
      </c>
      <c r="B126" s="6" t="s">
        <v>327</v>
      </c>
      <c r="C126" s="7" t="s">
        <v>326</v>
      </c>
      <c r="D126" s="3" t="s">
        <v>27</v>
      </c>
      <c r="E126" s="32">
        <f>'Mem. Cálculo'!H125</f>
        <v>5.3199999999999994</v>
      </c>
      <c r="F126" s="5">
        <v>97.67</v>
      </c>
      <c r="G126" s="25">
        <f t="shared" ref="G126" si="44">ROUND((F126+F126*H$7),2)</f>
        <v>127.86</v>
      </c>
      <c r="H126" s="25">
        <f t="shared" ref="H126" si="45">ROUND((E126*G126),2)</f>
        <v>680.22</v>
      </c>
    </row>
    <row r="127" spans="1:8" s="4" customFormat="1" ht="39" customHeight="1" x14ac:dyDescent="0.25">
      <c r="A127" s="48" t="s">
        <v>247</v>
      </c>
      <c r="B127" s="6" t="s">
        <v>39</v>
      </c>
      <c r="C127" s="2" t="s">
        <v>330</v>
      </c>
      <c r="D127" s="3" t="s">
        <v>30</v>
      </c>
      <c r="E127" s="32">
        <f>'Mem. Cálculo'!H126</f>
        <v>5.3199999999999994</v>
      </c>
      <c r="F127" s="5">
        <f>ROUND((4500/5.32),2)</f>
        <v>845.86</v>
      </c>
      <c r="G127" s="25">
        <f t="shared" ref="G127" si="46">ROUND((F127+F127*H$7),2)</f>
        <v>1107.32</v>
      </c>
      <c r="H127" s="25">
        <f t="shared" ref="H127" si="47">ROUND((E127*G127),2)</f>
        <v>5890.94</v>
      </c>
    </row>
    <row r="128" spans="1:8" ht="13.5" customHeight="1" x14ac:dyDescent="0.25">
      <c r="A128" s="48"/>
      <c r="B128" s="6"/>
      <c r="C128" s="7"/>
      <c r="D128" s="3"/>
      <c r="E128" s="32"/>
      <c r="F128" s="5"/>
      <c r="G128" s="25"/>
      <c r="H128" s="25"/>
    </row>
    <row r="129" spans="1:8" ht="14.25" customHeight="1" x14ac:dyDescent="0.25">
      <c r="A129" s="12">
        <v>17</v>
      </c>
      <c r="B129" s="13"/>
      <c r="C129" s="30" t="s">
        <v>250</v>
      </c>
      <c r="D129" s="14"/>
      <c r="E129" s="15"/>
      <c r="F129" s="15"/>
      <c r="G129" s="15"/>
      <c r="H129" s="29">
        <f>SUM(H130:H130)</f>
        <v>674.52</v>
      </c>
    </row>
    <row r="130" spans="1:8" ht="12.75" customHeight="1" x14ac:dyDescent="0.25">
      <c r="A130" s="48" t="s">
        <v>249</v>
      </c>
      <c r="B130" s="57" t="s">
        <v>251</v>
      </c>
      <c r="C130" s="58" t="s">
        <v>252</v>
      </c>
      <c r="D130" s="3" t="s">
        <v>30</v>
      </c>
      <c r="E130" s="32">
        <f>'Mem. Cálculo'!H129</f>
        <v>79.636500000000012</v>
      </c>
      <c r="F130" s="5">
        <v>6.47</v>
      </c>
      <c r="G130" s="25">
        <f t="shared" ref="G130" si="48">ROUND((F130+F130*H$7),2)</f>
        <v>8.4700000000000006</v>
      </c>
      <c r="H130" s="25">
        <f t="shared" ref="H130" si="49">ROUND((E130*G130),2)</f>
        <v>674.52</v>
      </c>
    </row>
    <row r="131" spans="1:8" x14ac:dyDescent="0.25">
      <c r="A131" s="106"/>
      <c r="B131" s="106"/>
      <c r="C131" s="106"/>
      <c r="D131" s="106"/>
      <c r="E131" s="106"/>
      <c r="F131" s="106"/>
      <c r="G131" s="106"/>
      <c r="H131" s="106"/>
    </row>
    <row r="132" spans="1:8" x14ac:dyDescent="0.25">
      <c r="A132" s="106" t="s">
        <v>42</v>
      </c>
      <c r="B132" s="106"/>
      <c r="C132" s="106"/>
      <c r="D132" s="106"/>
      <c r="E132" s="106"/>
      <c r="F132" s="106"/>
      <c r="G132" s="106"/>
      <c r="H132" s="106"/>
    </row>
    <row r="133" spans="1:8" x14ac:dyDescent="0.25">
      <c r="A133" s="107"/>
      <c r="B133" s="107"/>
      <c r="C133" s="107"/>
      <c r="D133" s="107"/>
      <c r="E133" s="107"/>
      <c r="F133" s="107"/>
      <c r="G133" s="107"/>
      <c r="H133" s="107"/>
    </row>
    <row r="134" spans="1:8" ht="85.5" customHeight="1" x14ac:dyDescent="0.25">
      <c r="A134" s="108" t="s">
        <v>13</v>
      </c>
      <c r="B134" s="108"/>
      <c r="C134" s="108"/>
      <c r="D134" s="108"/>
      <c r="E134" s="108"/>
      <c r="F134" s="108"/>
      <c r="G134" s="108"/>
      <c r="H134" s="108"/>
    </row>
    <row r="135" spans="1:8" x14ac:dyDescent="0.25">
      <c r="A135" s="8"/>
      <c r="B135" s="17"/>
      <c r="C135" s="18"/>
      <c r="D135" s="11"/>
      <c r="E135" s="19"/>
      <c r="F135" s="19"/>
      <c r="G135" s="19"/>
      <c r="H135" s="19"/>
    </row>
    <row r="137" spans="1:8" x14ac:dyDescent="0.25">
      <c r="A137" s="103" t="s">
        <v>11</v>
      </c>
      <c r="B137" s="103"/>
      <c r="C137" s="103"/>
      <c r="D137" s="103"/>
      <c r="E137" s="103"/>
      <c r="F137" s="103"/>
      <c r="G137" s="103"/>
      <c r="H137" s="103"/>
    </row>
    <row r="138" spans="1:8" x14ac:dyDescent="0.25">
      <c r="A138" s="8"/>
      <c r="B138" s="17"/>
      <c r="C138" s="18"/>
      <c r="D138" s="11"/>
      <c r="E138" s="19"/>
      <c r="F138" s="19"/>
      <c r="G138" s="19"/>
      <c r="H138" s="19"/>
    </row>
    <row r="140" spans="1:8" x14ac:dyDescent="0.25">
      <c r="A140" s="8"/>
      <c r="B140" s="17"/>
      <c r="C140" s="18"/>
      <c r="D140" s="11"/>
      <c r="E140" s="19"/>
      <c r="F140" s="19"/>
      <c r="G140" s="19"/>
      <c r="H140" s="19"/>
    </row>
    <row r="143" spans="1:8" x14ac:dyDescent="0.25">
      <c r="A143" s="8"/>
      <c r="B143" s="17"/>
      <c r="C143" s="18"/>
      <c r="D143" s="11"/>
      <c r="E143" s="19"/>
      <c r="F143" s="19"/>
      <c r="G143" s="19"/>
      <c r="H143" s="19"/>
    </row>
    <row r="144" spans="1:8" x14ac:dyDescent="0.25">
      <c r="A144" s="8"/>
      <c r="B144" s="17"/>
      <c r="C144" s="18"/>
      <c r="D144" s="11"/>
      <c r="E144" s="19"/>
      <c r="F144" s="19"/>
      <c r="G144" s="19"/>
      <c r="H144" s="19"/>
    </row>
    <row r="145" spans="1:8" x14ac:dyDescent="0.25">
      <c r="A145" s="8"/>
      <c r="B145" s="17"/>
      <c r="C145" s="18"/>
      <c r="D145" s="11"/>
      <c r="E145" s="19"/>
      <c r="F145" s="19"/>
      <c r="G145" s="19"/>
      <c r="H145" s="19"/>
    </row>
    <row r="146" spans="1:8" x14ac:dyDescent="0.25">
      <c r="A146" s="8"/>
      <c r="B146" s="17"/>
      <c r="C146" s="18"/>
      <c r="D146" s="11"/>
      <c r="E146" s="19"/>
      <c r="F146" s="19"/>
      <c r="G146" s="19"/>
      <c r="H146" s="19"/>
    </row>
    <row r="147" spans="1:8" x14ac:dyDescent="0.25">
      <c r="A147" s="8"/>
      <c r="B147" s="17"/>
      <c r="C147" s="18"/>
      <c r="D147" s="11"/>
      <c r="E147" s="19"/>
      <c r="F147" s="19"/>
      <c r="G147" s="19"/>
      <c r="H147" s="19"/>
    </row>
    <row r="150" spans="1:8" x14ac:dyDescent="0.25">
      <c r="A150" s="8"/>
      <c r="B150" s="17"/>
      <c r="C150" s="18"/>
      <c r="D150" s="11"/>
      <c r="E150" s="19"/>
      <c r="F150" s="19"/>
      <c r="G150" s="19"/>
      <c r="H150" s="19"/>
    </row>
    <row r="152" spans="1:8" x14ac:dyDescent="0.25">
      <c r="A152" s="8"/>
      <c r="B152" s="17"/>
      <c r="C152" s="18"/>
      <c r="D152" s="11"/>
      <c r="E152" s="19"/>
      <c r="F152" s="19"/>
      <c r="G152" s="19"/>
      <c r="H152" s="19"/>
    </row>
    <row r="153" spans="1:8" x14ac:dyDescent="0.25">
      <c r="A153" s="8"/>
      <c r="B153" s="17"/>
      <c r="C153" s="18"/>
      <c r="D153" s="11"/>
      <c r="E153" s="19"/>
      <c r="F153" s="19"/>
      <c r="G153" s="19"/>
      <c r="H153" s="19"/>
    </row>
    <row r="154" spans="1:8" x14ac:dyDescent="0.25">
      <c r="B154" s="10"/>
      <c r="E154" s="10"/>
      <c r="F154" s="10"/>
      <c r="G154" s="10"/>
      <c r="H154" s="10"/>
    </row>
  </sheetData>
  <mergeCells count="21">
    <mergeCell ref="A6:F6"/>
    <mergeCell ref="G6:H6"/>
    <mergeCell ref="A137:H137"/>
    <mergeCell ref="H9:H10"/>
    <mergeCell ref="A131:H131"/>
    <mergeCell ref="A133:H133"/>
    <mergeCell ref="A134:H134"/>
    <mergeCell ref="A132:H132"/>
    <mergeCell ref="A7:F7"/>
    <mergeCell ref="A8:H8"/>
    <mergeCell ref="A9:A10"/>
    <mergeCell ref="B9:B10"/>
    <mergeCell ref="C9:C10"/>
    <mergeCell ref="D9:D10"/>
    <mergeCell ref="E9:E10"/>
    <mergeCell ref="F9:G9"/>
    <mergeCell ref="A1:H1"/>
    <mergeCell ref="A2:H2"/>
    <mergeCell ref="A3:H3"/>
    <mergeCell ref="A4:H4"/>
    <mergeCell ref="A5:H5"/>
  </mergeCells>
  <phoneticPr fontId="11" type="noConversion"/>
  <pageMargins left="0.39370078740157483" right="0.39370078740157483" top="0.39370078740157483" bottom="0.39370078740157483" header="0" footer="0"/>
  <pageSetup paperSize="9" orientation="portrait" horizontalDpi="4294967292" r:id="rId1"/>
  <headerFooter>
    <oddFooter>&amp;R&amp;"Arial Narrow,Normal"&amp;10Página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9D2D3-8F88-4A87-8C21-39BAAEE67C45}">
  <dimension ref="A1:Q136"/>
  <sheetViews>
    <sheetView topLeftCell="A118" zoomScale="118" zoomScaleNormal="118" workbookViewId="0">
      <selection activeCell="A75" sqref="A75:A80"/>
    </sheetView>
  </sheetViews>
  <sheetFormatPr defaultRowHeight="15" x14ac:dyDescent="0.25"/>
  <cols>
    <col min="1" max="1" width="4.42578125" customWidth="1"/>
    <col min="2" max="2" width="7.28515625" customWidth="1"/>
    <col min="3" max="3" width="39.140625" customWidth="1"/>
    <col min="4" max="4" width="3.140625" customWidth="1"/>
    <col min="6" max="6" width="8" customWidth="1"/>
    <col min="7" max="7" width="15.42578125" customWidth="1"/>
    <col min="8" max="8" width="7.28515625" customWidth="1"/>
  </cols>
  <sheetData>
    <row r="1" spans="1:17" ht="56.25" customHeight="1" x14ac:dyDescent="0.25">
      <c r="A1" s="88" t="s">
        <v>12</v>
      </c>
      <c r="B1" s="89"/>
      <c r="C1" s="89"/>
      <c r="D1" s="89"/>
      <c r="E1" s="89"/>
      <c r="F1" s="89"/>
      <c r="G1" s="89"/>
      <c r="H1" s="90"/>
    </row>
    <row r="2" spans="1:17" ht="6" customHeight="1" x14ac:dyDescent="0.25">
      <c r="A2" s="137"/>
      <c r="B2" s="137"/>
      <c r="C2" s="137"/>
      <c r="D2" s="137"/>
      <c r="E2" s="137"/>
      <c r="F2" s="137"/>
      <c r="G2" s="137"/>
      <c r="H2" s="137"/>
    </row>
    <row r="3" spans="1:17" ht="15.75" customHeight="1" x14ac:dyDescent="0.25">
      <c r="A3" s="138" t="s">
        <v>41</v>
      </c>
      <c r="B3" s="139"/>
      <c r="C3" s="139"/>
      <c r="D3" s="139"/>
      <c r="E3" s="139"/>
      <c r="F3" s="139"/>
      <c r="G3" s="139"/>
      <c r="H3" s="140"/>
    </row>
    <row r="4" spans="1:17" ht="6" customHeight="1" x14ac:dyDescent="0.25">
      <c r="A4" s="91"/>
      <c r="B4" s="91"/>
      <c r="C4" s="91"/>
      <c r="D4" s="91"/>
      <c r="E4" s="91"/>
      <c r="F4" s="91"/>
      <c r="G4" s="91"/>
      <c r="H4" s="91"/>
    </row>
    <row r="5" spans="1:17" x14ac:dyDescent="0.25">
      <c r="A5" s="95" t="s">
        <v>323</v>
      </c>
      <c r="B5" s="96"/>
      <c r="C5" s="96"/>
      <c r="D5" s="96"/>
      <c r="E5" s="96"/>
      <c r="F5" s="97"/>
      <c r="G5" s="101" t="s">
        <v>57</v>
      </c>
      <c r="H5" s="102"/>
    </row>
    <row r="6" spans="1:17" x14ac:dyDescent="0.25">
      <c r="A6" s="95" t="s">
        <v>56</v>
      </c>
      <c r="B6" s="96"/>
      <c r="C6" s="96"/>
      <c r="D6" s="96"/>
      <c r="E6" s="96"/>
      <c r="F6" s="96"/>
      <c r="G6" s="96"/>
      <c r="H6" s="97"/>
    </row>
    <row r="7" spans="1:17" x14ac:dyDescent="0.25">
      <c r="A7" s="95" t="s">
        <v>55</v>
      </c>
      <c r="B7" s="96"/>
      <c r="C7" s="96"/>
      <c r="D7" s="96"/>
      <c r="E7" s="96"/>
      <c r="F7" s="96"/>
      <c r="G7" s="96"/>
      <c r="H7" s="97"/>
    </row>
    <row r="8" spans="1:17" ht="6" customHeight="1" x14ac:dyDescent="0.25">
      <c r="A8" s="109"/>
      <c r="B8" s="109"/>
      <c r="C8" s="109"/>
      <c r="D8" s="109"/>
      <c r="E8" s="109"/>
      <c r="F8" s="109"/>
      <c r="G8" s="109"/>
      <c r="H8" s="109"/>
    </row>
    <row r="9" spans="1:17" ht="21.75" customHeight="1" x14ac:dyDescent="0.25">
      <c r="A9" s="121" t="s">
        <v>1</v>
      </c>
      <c r="B9" s="123" t="s">
        <v>2</v>
      </c>
      <c r="C9" s="121" t="s">
        <v>3</v>
      </c>
      <c r="D9" s="125" t="s">
        <v>40</v>
      </c>
      <c r="E9" s="126"/>
      <c r="F9" s="126"/>
      <c r="G9" s="126"/>
      <c r="H9" s="127"/>
      <c r="Q9" s="35"/>
    </row>
    <row r="10" spans="1:17" x14ac:dyDescent="0.25">
      <c r="A10" s="122"/>
      <c r="B10" s="124"/>
      <c r="C10" s="122"/>
      <c r="D10" s="128"/>
      <c r="E10" s="129"/>
      <c r="F10" s="129"/>
      <c r="G10" s="129"/>
      <c r="H10" s="130"/>
    </row>
    <row r="11" spans="1:17" x14ac:dyDescent="0.25">
      <c r="A11" s="50"/>
      <c r="B11" s="51"/>
      <c r="C11" s="52" t="s">
        <v>97</v>
      </c>
      <c r="D11" s="131"/>
      <c r="E11" s="132"/>
      <c r="F11" s="132"/>
      <c r="G11" s="132"/>
      <c r="H11" s="133"/>
    </row>
    <row r="12" spans="1:17" x14ac:dyDescent="0.25">
      <c r="A12" s="12">
        <v>1</v>
      </c>
      <c r="B12" s="13"/>
      <c r="C12" s="30" t="s">
        <v>58</v>
      </c>
      <c r="D12" s="134"/>
      <c r="E12" s="135"/>
      <c r="F12" s="135"/>
      <c r="G12" s="135"/>
      <c r="H12" s="136"/>
    </row>
    <row r="13" spans="1:17" ht="81.75" customHeight="1" x14ac:dyDescent="0.25">
      <c r="A13" s="16" t="s">
        <v>10</v>
      </c>
      <c r="B13" s="36" t="s">
        <v>60</v>
      </c>
      <c r="C13" s="7" t="s">
        <v>59</v>
      </c>
      <c r="D13" s="33" t="s">
        <v>47</v>
      </c>
      <c r="E13" s="116" t="s">
        <v>61</v>
      </c>
      <c r="F13" s="116"/>
      <c r="G13" s="116"/>
      <c r="H13" s="34">
        <v>4.5</v>
      </c>
    </row>
    <row r="14" spans="1:17" ht="26.25" customHeight="1" x14ac:dyDescent="0.25">
      <c r="A14" s="16" t="s">
        <v>37</v>
      </c>
      <c r="B14" s="6" t="s">
        <v>25</v>
      </c>
      <c r="C14" s="7" t="s">
        <v>26</v>
      </c>
      <c r="D14" s="33" t="s">
        <v>47</v>
      </c>
      <c r="E14" s="116" t="s">
        <v>282</v>
      </c>
      <c r="F14" s="116"/>
      <c r="G14" s="116"/>
      <c r="H14" s="34">
        <f>4</f>
        <v>4</v>
      </c>
    </row>
    <row r="15" spans="1:17" ht="31.5" customHeight="1" x14ac:dyDescent="0.25">
      <c r="A15" s="16" t="s">
        <v>14</v>
      </c>
      <c r="B15" s="36" t="s">
        <v>298</v>
      </c>
      <c r="C15" s="7" t="s">
        <v>297</v>
      </c>
      <c r="D15" s="33" t="s">
        <v>47</v>
      </c>
      <c r="E15" s="116" t="s">
        <v>299</v>
      </c>
      <c r="F15" s="116"/>
      <c r="G15" s="116"/>
      <c r="H15" s="34">
        <f>((4.35+0.15+0.15)*(1.2+0.15+3.84+7+0.6)+(3*7))*0.06</f>
        <v>4.8284099999999999</v>
      </c>
    </row>
    <row r="16" spans="1:17" ht="25.5" customHeight="1" x14ac:dyDescent="0.25">
      <c r="A16" s="16" t="s">
        <v>15</v>
      </c>
      <c r="B16" s="6" t="s">
        <v>46</v>
      </c>
      <c r="C16" s="7" t="s">
        <v>45</v>
      </c>
      <c r="D16" s="33" t="s">
        <v>47</v>
      </c>
      <c r="E16" s="116" t="s">
        <v>62</v>
      </c>
      <c r="F16" s="116"/>
      <c r="G16" s="116"/>
      <c r="H16" s="34">
        <f>(1.2+0.15+3.84+0.15+6.52+0.15+0.6)*0.5*0.12</f>
        <v>0.75659999999999994</v>
      </c>
    </row>
    <row r="17" spans="1:8" ht="25.5" customHeight="1" x14ac:dyDescent="0.25">
      <c r="A17" s="16" t="s">
        <v>38</v>
      </c>
      <c r="B17" s="6" t="s">
        <v>49</v>
      </c>
      <c r="C17" s="7" t="s">
        <v>48</v>
      </c>
      <c r="D17" s="33" t="s">
        <v>47</v>
      </c>
      <c r="E17" s="116" t="s">
        <v>267</v>
      </c>
      <c r="F17" s="116"/>
      <c r="G17" s="116"/>
      <c r="H17" s="34">
        <f>(((1.2+0.15+3.84+0.15+6.52+0.15+0.6-1)*1.1)+(2*0.8*0.1))*0.15</f>
        <v>1.9396500000000001</v>
      </c>
    </row>
    <row r="18" spans="1:8" ht="66" customHeight="1" x14ac:dyDescent="0.25">
      <c r="A18" s="16" t="s">
        <v>52</v>
      </c>
      <c r="B18" s="6" t="s">
        <v>355</v>
      </c>
      <c r="C18" s="7" t="s">
        <v>354</v>
      </c>
      <c r="D18" s="33" t="s">
        <v>47</v>
      </c>
      <c r="E18" s="116" t="s">
        <v>356</v>
      </c>
      <c r="F18" s="116"/>
      <c r="G18" s="116"/>
      <c r="H18" s="34">
        <f>4</f>
        <v>4</v>
      </c>
    </row>
    <row r="19" spans="1:8" ht="67.5" customHeight="1" x14ac:dyDescent="0.25">
      <c r="A19" s="16" t="s">
        <v>53</v>
      </c>
      <c r="B19" s="36" t="s">
        <v>50</v>
      </c>
      <c r="C19" s="7" t="s">
        <v>51</v>
      </c>
      <c r="D19" s="33" t="s">
        <v>47</v>
      </c>
      <c r="E19" s="116" t="s">
        <v>64</v>
      </c>
      <c r="F19" s="116"/>
      <c r="G19" s="116"/>
      <c r="H19" s="34">
        <f>(1.2+0.15+3.84+0.15+6.52+0.15+0.6)*1</f>
        <v>12.61</v>
      </c>
    </row>
    <row r="20" spans="1:8" ht="25.5" customHeight="1" x14ac:dyDescent="0.25">
      <c r="A20" s="16" t="s">
        <v>63</v>
      </c>
      <c r="B20" s="6" t="s">
        <v>66</v>
      </c>
      <c r="C20" s="7" t="s">
        <v>65</v>
      </c>
      <c r="D20" s="33" t="s">
        <v>47</v>
      </c>
      <c r="E20" s="116" t="s">
        <v>67</v>
      </c>
      <c r="F20" s="116"/>
      <c r="G20" s="116"/>
      <c r="H20" s="34">
        <f>2.4*2.4</f>
        <v>5.76</v>
      </c>
    </row>
    <row r="21" spans="1:8" ht="12.75" customHeight="1" x14ac:dyDescent="0.25">
      <c r="A21" s="59"/>
      <c r="B21" s="60"/>
      <c r="C21" s="60"/>
      <c r="D21" s="33"/>
      <c r="E21" s="116"/>
      <c r="F21" s="116"/>
      <c r="G21" s="116"/>
      <c r="H21" s="34"/>
    </row>
    <row r="22" spans="1:8" ht="17.25" customHeight="1" x14ac:dyDescent="0.25">
      <c r="A22" s="12">
        <v>2</v>
      </c>
      <c r="B22" s="13"/>
      <c r="C22" s="30" t="s">
        <v>72</v>
      </c>
      <c r="D22" s="117"/>
      <c r="E22" s="118"/>
      <c r="F22" s="118"/>
      <c r="G22" s="118"/>
      <c r="H22" s="119"/>
    </row>
    <row r="23" spans="1:8" ht="30.75" customHeight="1" x14ac:dyDescent="0.25">
      <c r="A23" s="16" t="s">
        <v>69</v>
      </c>
      <c r="B23" s="6" t="s">
        <v>73</v>
      </c>
      <c r="C23" s="7" t="s">
        <v>74</v>
      </c>
      <c r="D23" s="33" t="s">
        <v>47</v>
      </c>
      <c r="E23" s="116" t="s">
        <v>259</v>
      </c>
      <c r="F23" s="116"/>
      <c r="G23" s="116"/>
      <c r="H23" s="34">
        <f>(7*1*1*1.5)+(3*0.6*0.6*1)+((0.15+6.62+0.15+3.84+0.15-3)*2+(3+3+7-2.8)+(4*(4.35-1)))*0.2*0.4</f>
        <v>14.733600000000001</v>
      </c>
    </row>
    <row r="24" spans="1:8" ht="25.5" customHeight="1" x14ac:dyDescent="0.25">
      <c r="A24" s="16" t="s">
        <v>70</v>
      </c>
      <c r="B24" s="6" t="s">
        <v>75</v>
      </c>
      <c r="C24" s="7" t="s">
        <v>76</v>
      </c>
      <c r="D24" s="33" t="s">
        <v>47</v>
      </c>
      <c r="E24" s="116" t="s">
        <v>258</v>
      </c>
      <c r="F24" s="116"/>
      <c r="G24" s="116"/>
      <c r="H24" s="34">
        <f>(7*1*1)+(3*0.6*0.6)+((0.15+6.62+0.15+3.84+0.15-3)*2+(3+3+7-2.8)+(4*(4.35-1)))*0.2</f>
        <v>15.964</v>
      </c>
    </row>
    <row r="25" spans="1:8" ht="25.5" customHeight="1" x14ac:dyDescent="0.25">
      <c r="A25" s="16" t="s">
        <v>71</v>
      </c>
      <c r="B25" s="6" t="s">
        <v>80</v>
      </c>
      <c r="C25" s="7" t="s">
        <v>81</v>
      </c>
      <c r="D25" s="33" t="s">
        <v>47</v>
      </c>
      <c r="E25" s="116" t="s">
        <v>260</v>
      </c>
      <c r="F25" s="116"/>
      <c r="G25" s="116"/>
      <c r="H25" s="34">
        <f>(7*1*1*0.9)+80.47*0.1</f>
        <v>14.347000000000001</v>
      </c>
    </row>
    <row r="26" spans="1:8" ht="14.25" customHeight="1" x14ac:dyDescent="0.25">
      <c r="A26" s="16"/>
      <c r="B26" s="6"/>
      <c r="C26" s="7"/>
      <c r="D26" s="33"/>
      <c r="E26" s="116"/>
      <c r="F26" s="116"/>
      <c r="G26" s="116"/>
      <c r="H26" s="34"/>
    </row>
    <row r="27" spans="1:8" ht="15" customHeight="1" x14ac:dyDescent="0.25">
      <c r="A27" s="12">
        <v>3</v>
      </c>
      <c r="B27" s="13"/>
      <c r="C27" s="30" t="s">
        <v>82</v>
      </c>
      <c r="D27" s="117"/>
      <c r="E27" s="118"/>
      <c r="F27" s="118"/>
      <c r="G27" s="118"/>
      <c r="H27" s="119"/>
    </row>
    <row r="28" spans="1:8" ht="37.5" customHeight="1" x14ac:dyDescent="0.25">
      <c r="A28" s="16" t="s">
        <v>83</v>
      </c>
      <c r="B28" s="6" t="s">
        <v>32</v>
      </c>
      <c r="C28" s="7" t="s">
        <v>31</v>
      </c>
      <c r="D28" s="33" t="s">
        <v>47</v>
      </c>
      <c r="E28" s="116" t="s">
        <v>264</v>
      </c>
      <c r="F28" s="116"/>
      <c r="G28" s="116"/>
      <c r="H28" s="34">
        <f>(7*4.7/0.15*(0.11+0.37+0.11+0.37+0.05)+(((0.15+6.52+0.15+3.84+0.15)*2)+(7+3+3+4.35*4))/0.15*(0.11+0.37+0.11+0.37+0.05))*0.154</f>
        <v>88.05637866666666</v>
      </c>
    </row>
    <row r="29" spans="1:8" ht="25.5" customHeight="1" x14ac:dyDescent="0.25">
      <c r="A29" s="16" t="s">
        <v>84</v>
      </c>
      <c r="B29" s="6" t="s">
        <v>77</v>
      </c>
      <c r="C29" s="7" t="s">
        <v>78</v>
      </c>
      <c r="D29" s="33" t="s">
        <v>47</v>
      </c>
      <c r="E29" s="116" t="s">
        <v>261</v>
      </c>
      <c r="F29" s="116"/>
      <c r="G29" s="116"/>
      <c r="H29" s="34">
        <f>((7*2*0.9*6)+(0.15+6.52+0.15+3.84+0.15)*2+(7+3+3+4.35*4))*4*0.395</f>
        <v>201.63960000000003</v>
      </c>
    </row>
    <row r="30" spans="1:8" ht="25.5" customHeight="1" x14ac:dyDescent="0.25">
      <c r="A30" s="16" t="s">
        <v>85</v>
      </c>
      <c r="B30" s="6" t="s">
        <v>36</v>
      </c>
      <c r="C30" s="7" t="s">
        <v>35</v>
      </c>
      <c r="D30" s="33" t="s">
        <v>47</v>
      </c>
      <c r="E30" s="116" t="s">
        <v>262</v>
      </c>
      <c r="F30" s="116"/>
      <c r="G30" s="116"/>
      <c r="H30" s="34">
        <f>(7*4*2.2+3*4*1.3)*0.617</f>
        <v>47.632400000000011</v>
      </c>
    </row>
    <row r="31" spans="1:8" ht="25.5" customHeight="1" x14ac:dyDescent="0.25">
      <c r="A31" s="16" t="s">
        <v>86</v>
      </c>
      <c r="B31" s="6" t="s">
        <v>29</v>
      </c>
      <c r="C31" s="7" t="s">
        <v>79</v>
      </c>
      <c r="D31" s="33" t="s">
        <v>47</v>
      </c>
      <c r="E31" s="116" t="s">
        <v>304</v>
      </c>
      <c r="F31" s="116"/>
      <c r="G31" s="116"/>
      <c r="H31" s="34">
        <f>7*0.5*(0.14+0.14+0.4+0.4)+2*((0.6+0.15+6.52+0.15+3.84+0.15)*2)*0.4+(7+3+3+4.35*4)*2*0.4</f>
        <v>46.356000000000002</v>
      </c>
    </row>
    <row r="32" spans="1:8" ht="18" customHeight="1" x14ac:dyDescent="0.25">
      <c r="A32" s="16" t="s">
        <v>87</v>
      </c>
      <c r="B32" s="6" t="s">
        <v>88</v>
      </c>
      <c r="C32" s="7" t="s">
        <v>89</v>
      </c>
      <c r="D32" s="33" t="s">
        <v>47</v>
      </c>
      <c r="E32" s="116" t="s">
        <v>263</v>
      </c>
      <c r="F32" s="116"/>
      <c r="G32" s="116"/>
      <c r="H32" s="34">
        <f>2*((0.15+6.52+0.15+3.84+0.15)*2)*0.4+(7+3+3+4.35*4)*2*0.4</f>
        <v>41.616</v>
      </c>
    </row>
    <row r="33" spans="1:8" ht="40.5" customHeight="1" x14ac:dyDescent="0.25">
      <c r="A33" s="16" t="s">
        <v>312</v>
      </c>
      <c r="B33" s="6" t="s">
        <v>313</v>
      </c>
      <c r="C33" s="7" t="s">
        <v>314</v>
      </c>
      <c r="D33" s="33" t="s">
        <v>47</v>
      </c>
      <c r="E33" s="116" t="s">
        <v>351</v>
      </c>
      <c r="F33" s="116"/>
      <c r="G33" s="116"/>
      <c r="H33" s="34">
        <f>((7*1*1)+(3*0.6*0.6))*0.06+(0.15+6.52+0.15+3.84+0.15)*(4.35+0.15+0.15)*0.06+ 3*7*0.06</f>
        <v>4.7607900000000001</v>
      </c>
    </row>
    <row r="34" spans="1:8" ht="44.25" customHeight="1" x14ac:dyDescent="0.25">
      <c r="A34" s="16" t="s">
        <v>316</v>
      </c>
      <c r="B34" s="6" t="s">
        <v>318</v>
      </c>
      <c r="C34" s="7" t="s">
        <v>317</v>
      </c>
      <c r="D34" s="33" t="s">
        <v>47</v>
      </c>
      <c r="E34" s="120" t="s">
        <v>321</v>
      </c>
      <c r="F34" s="120"/>
      <c r="G34" s="120"/>
      <c r="H34" s="34">
        <f>7*1*1*0.5+3*0.6*0.6*0.5+7*0.5*0.14*0.4+2*(0.6+0.15+6.52+0.15+3.84+0.15)*0.14*0.4+(7+3+3+4.35*4)*0.14*0.4</f>
        <v>7.2163199999999996</v>
      </c>
    </row>
    <row r="35" spans="1:8" ht="12.75" customHeight="1" x14ac:dyDescent="0.25">
      <c r="A35" s="16"/>
      <c r="B35" s="6"/>
      <c r="C35" s="7"/>
      <c r="D35" s="33"/>
      <c r="E35" s="116"/>
      <c r="F35" s="116"/>
      <c r="G35" s="116"/>
      <c r="H35" s="34"/>
    </row>
    <row r="36" spans="1:8" ht="15" customHeight="1" x14ac:dyDescent="0.25">
      <c r="A36" s="12">
        <v>4</v>
      </c>
      <c r="B36" s="13"/>
      <c r="C36" s="30" t="s">
        <v>98</v>
      </c>
      <c r="D36" s="117"/>
      <c r="E36" s="118"/>
      <c r="F36" s="118"/>
      <c r="G36" s="118"/>
      <c r="H36" s="119"/>
    </row>
    <row r="37" spans="1:8" ht="32.25" customHeight="1" x14ac:dyDescent="0.25">
      <c r="A37" s="16" t="s">
        <v>90</v>
      </c>
      <c r="B37" s="6" t="s">
        <v>32</v>
      </c>
      <c r="C37" s="7" t="s">
        <v>31</v>
      </c>
      <c r="D37" s="33" t="s">
        <v>47</v>
      </c>
      <c r="E37" s="116" t="s">
        <v>328</v>
      </c>
      <c r="F37" s="116"/>
      <c r="G37" s="116"/>
      <c r="H37" s="34">
        <f>(7*2.8/0.15*(0.11+0.27+0.11+0.27+0.05)+(((0.15+6.52+0.15+3.84+0.15)*2)+(4.35*4))/0.15*(0.11+0.27+0.11+0.27+0.05))*0.154</f>
        <v>48.748392000000003</v>
      </c>
    </row>
    <row r="38" spans="1:8" ht="35.25" customHeight="1" x14ac:dyDescent="0.25">
      <c r="A38" s="16" t="s">
        <v>91</v>
      </c>
      <c r="B38" s="6" t="s">
        <v>34</v>
      </c>
      <c r="C38" s="7" t="s">
        <v>33</v>
      </c>
      <c r="D38" s="33" t="s">
        <v>47</v>
      </c>
      <c r="E38" s="116" t="s">
        <v>271</v>
      </c>
      <c r="F38" s="116"/>
      <c r="G38" s="116"/>
      <c r="H38" s="34">
        <f>((4.35/0.15)*(0.15+6.52+0.15+3.84+0.15+1.2+0.6)+((0.15+6.52+0.15+3.84+0.15+1.2+0.6)/0.15)*4.35)*0.245</f>
        <v>179.18809999999996</v>
      </c>
    </row>
    <row r="39" spans="1:8" ht="29.25" customHeight="1" x14ac:dyDescent="0.25">
      <c r="A39" s="16" t="s">
        <v>92</v>
      </c>
      <c r="B39" s="6" t="s">
        <v>77</v>
      </c>
      <c r="C39" s="7" t="s">
        <v>78</v>
      </c>
      <c r="D39" s="33" t="s">
        <v>47</v>
      </c>
      <c r="E39" s="116" t="s">
        <v>265</v>
      </c>
      <c r="F39" s="116"/>
      <c r="G39" s="116"/>
      <c r="H39" s="34">
        <f>(4.35/0.15)*3*2*0.395</f>
        <v>68.73</v>
      </c>
    </row>
    <row r="40" spans="1:8" ht="25.5" customHeight="1" x14ac:dyDescent="0.25">
      <c r="A40" s="16" t="s">
        <v>93</v>
      </c>
      <c r="B40" s="6" t="s">
        <v>36</v>
      </c>
      <c r="C40" s="7" t="s">
        <v>35</v>
      </c>
      <c r="D40" s="33" t="s">
        <v>47</v>
      </c>
      <c r="E40" s="116" t="s">
        <v>266</v>
      </c>
      <c r="F40" s="116"/>
      <c r="G40" s="116"/>
      <c r="H40" s="34">
        <f>((2*((0.9/0.15)+1)*6.52)+(2*(0.15+6.52+0.15+3.84+0.15)+4*4.35)*4+3.6*4*7)*0.617</f>
        <v>214.81471999999997</v>
      </c>
    </row>
    <row r="41" spans="1:8" ht="29.25" customHeight="1" x14ac:dyDescent="0.25">
      <c r="A41" s="16" t="s">
        <v>94</v>
      </c>
      <c r="B41" s="6" t="s">
        <v>100</v>
      </c>
      <c r="C41" s="7" t="s">
        <v>99</v>
      </c>
      <c r="D41" s="33" t="s">
        <v>47</v>
      </c>
      <c r="E41" s="116" t="s">
        <v>303</v>
      </c>
      <c r="F41" s="116"/>
      <c r="G41" s="116"/>
      <c r="H41" s="34">
        <f>(2*(0.6+0.15+6.52+0.15+3.84+0.15)+4*4.35)*3*0.963</f>
        <v>116.19557999999999</v>
      </c>
    </row>
    <row r="42" spans="1:8" ht="41.25" customHeight="1" x14ac:dyDescent="0.25">
      <c r="A42" s="16" t="s">
        <v>95</v>
      </c>
      <c r="B42" s="6" t="s">
        <v>101</v>
      </c>
      <c r="C42" s="7" t="s">
        <v>102</v>
      </c>
      <c r="D42" s="33" t="s">
        <v>47</v>
      </c>
      <c r="E42" s="116" t="s">
        <v>325</v>
      </c>
      <c r="F42" s="116"/>
      <c r="G42" s="116"/>
      <c r="H42" s="34">
        <f>7*2.8*(0.14+0.3+0.14+0.3)+(2*(0.15+6.52+0.15+3.84+0.15)*2*0.3)+(4.35*4)*2*0.3+(0.15+6.52+0.15+3.84+0.15+1.2+0.6)*4.35</f>
        <v>95.513499999999993</v>
      </c>
    </row>
    <row r="43" spans="1:8" ht="54" customHeight="1" x14ac:dyDescent="0.25">
      <c r="A43" s="16" t="s">
        <v>96</v>
      </c>
      <c r="B43" s="6" t="s">
        <v>103</v>
      </c>
      <c r="C43" s="7" t="s">
        <v>104</v>
      </c>
      <c r="D43" s="33" t="s">
        <v>47</v>
      </c>
      <c r="E43" s="116" t="s">
        <v>272</v>
      </c>
      <c r="F43" s="116"/>
      <c r="G43" s="116"/>
      <c r="H43" s="34">
        <f>(0.15+6.52+0.15+3.84+0.15+1.2+0.6)*4.35</f>
        <v>54.85349999999999</v>
      </c>
    </row>
    <row r="44" spans="1:8" ht="37.5" customHeight="1" x14ac:dyDescent="0.25">
      <c r="A44" s="16" t="s">
        <v>315</v>
      </c>
      <c r="B44" s="6" t="s">
        <v>320</v>
      </c>
      <c r="C44" s="7" t="s">
        <v>319</v>
      </c>
      <c r="D44" s="33" t="s">
        <v>47</v>
      </c>
      <c r="E44" s="116" t="s">
        <v>329</v>
      </c>
      <c r="F44" s="116"/>
      <c r="G44" s="116"/>
      <c r="H44" s="34">
        <f>7*2.8*0.14*0.3+2*(0.15+6.52+0.15+3.84+0.15)*0.14*0.3+4*4.35*0.14*0.3+(0.15+6.52+0.15+3.84+0.15+1.2+0.6)*(4.35+0.15+0.15)*0.08</f>
        <v>7.1529600000000002</v>
      </c>
    </row>
    <row r="45" spans="1:8" ht="13.5" customHeight="1" x14ac:dyDescent="0.25">
      <c r="A45" s="16"/>
      <c r="B45" s="6"/>
      <c r="C45" s="7"/>
      <c r="D45" s="33"/>
      <c r="E45" s="116"/>
      <c r="F45" s="116"/>
      <c r="G45" s="116"/>
      <c r="H45" s="34"/>
    </row>
    <row r="46" spans="1:8" ht="15" customHeight="1" x14ac:dyDescent="0.25">
      <c r="A46" s="12">
        <v>5</v>
      </c>
      <c r="B46" s="13"/>
      <c r="C46" s="30" t="s">
        <v>106</v>
      </c>
      <c r="D46" s="117"/>
      <c r="E46" s="118"/>
      <c r="F46" s="118"/>
      <c r="G46" s="118"/>
      <c r="H46" s="119"/>
    </row>
    <row r="47" spans="1:8" ht="50.25" customHeight="1" x14ac:dyDescent="0.25">
      <c r="A47" s="16" t="s">
        <v>107</v>
      </c>
      <c r="B47" s="6" t="s">
        <v>110</v>
      </c>
      <c r="C47" s="7" t="s">
        <v>109</v>
      </c>
      <c r="D47" s="33" t="s">
        <v>47</v>
      </c>
      <c r="E47" s="116" t="s">
        <v>368</v>
      </c>
      <c r="F47" s="116"/>
      <c r="G47" s="116"/>
      <c r="H47" s="34">
        <f>((2*2.8*(0.15+6.52+0.15+3.84+0.15)-2*0.8*2.1-2*2*1.6+2*1.6)+4.35*2.8-2*0.8*2.1-2.6*2.4+2*0.6*2.8)+(2*1*(0.15+6.52+0.15+3.84+0.15))+(2*1*4.35)</f>
        <v>90.236000000000004</v>
      </c>
    </row>
    <row r="48" spans="1:8" ht="46.5" customHeight="1" x14ac:dyDescent="0.25">
      <c r="A48" s="16" t="s">
        <v>108</v>
      </c>
      <c r="B48" s="6" t="s">
        <v>111</v>
      </c>
      <c r="C48" s="2" t="s">
        <v>112</v>
      </c>
      <c r="D48" s="33" t="s">
        <v>47</v>
      </c>
      <c r="E48" s="116" t="s">
        <v>268</v>
      </c>
      <c r="F48" s="116"/>
      <c r="G48" s="116"/>
      <c r="H48" s="34">
        <f>(4*1.6+2.2+2*2*2.8)*0.14*0.14</f>
        <v>0.38808000000000009</v>
      </c>
    </row>
    <row r="49" spans="1:8" ht="14.25" customHeight="1" x14ac:dyDescent="0.25">
      <c r="A49" s="16"/>
      <c r="B49" s="6"/>
      <c r="C49" s="7"/>
      <c r="D49" s="33"/>
      <c r="E49" s="116"/>
      <c r="F49" s="116"/>
      <c r="G49" s="116"/>
      <c r="H49" s="34"/>
    </row>
    <row r="50" spans="1:8" ht="15.75" customHeight="1" x14ac:dyDescent="0.25">
      <c r="A50" s="12">
        <v>6</v>
      </c>
      <c r="B50" s="13"/>
      <c r="C50" s="30" t="s">
        <v>113</v>
      </c>
      <c r="D50" s="117"/>
      <c r="E50" s="118"/>
      <c r="F50" s="118"/>
      <c r="G50" s="118"/>
      <c r="H50" s="119"/>
    </row>
    <row r="51" spans="1:8" ht="52.5" customHeight="1" x14ac:dyDescent="0.25">
      <c r="A51" s="16" t="s">
        <v>114</v>
      </c>
      <c r="B51" s="6" t="s">
        <v>116</v>
      </c>
      <c r="C51" s="7" t="s">
        <v>117</v>
      </c>
      <c r="D51" s="33" t="s">
        <v>47</v>
      </c>
      <c r="E51" s="116" t="s">
        <v>369</v>
      </c>
      <c r="F51" s="116"/>
      <c r="G51" s="116"/>
      <c r="H51" s="34">
        <f>(3*2.8*(0.15+6.52+0.15+3.84+0.15)-2*2*0.8*2.1-2*2*2*1.6+2*2*1.6)+2*3*4.35*2.8-2*2*0.8*2.1-2*2.6*2.4+2*2*0.6*2.8+((2*1*(0.15+6.52+0.15+3.84+0.15))+(2*1*4.35))*2</f>
        <v>198.92399999999998</v>
      </c>
    </row>
    <row r="52" spans="1:8" ht="39" customHeight="1" x14ac:dyDescent="0.25">
      <c r="A52" s="16" t="s">
        <v>115</v>
      </c>
      <c r="B52" s="6" t="s">
        <v>118</v>
      </c>
      <c r="C52" s="7" t="s">
        <v>119</v>
      </c>
      <c r="D52" s="33" t="s">
        <v>47</v>
      </c>
      <c r="E52" s="116" t="s">
        <v>270</v>
      </c>
      <c r="F52" s="116"/>
      <c r="G52" s="116"/>
      <c r="H52" s="34">
        <f>4.35*1.2+4.35*0.6</f>
        <v>7.83</v>
      </c>
    </row>
    <row r="53" spans="1:8" ht="56.25" customHeight="1" x14ac:dyDescent="0.25">
      <c r="A53" s="16" t="s">
        <v>120</v>
      </c>
      <c r="B53" s="6" t="s">
        <v>124</v>
      </c>
      <c r="C53" s="2" t="s">
        <v>253</v>
      </c>
      <c r="D53" s="33" t="s">
        <v>47</v>
      </c>
      <c r="E53" s="116" t="s">
        <v>269</v>
      </c>
      <c r="F53" s="116"/>
      <c r="G53" s="116"/>
      <c r="H53" s="34">
        <f>(3*2.8*(0.15+6.52+0.15+3.84+0.15)-2*2*0.8*2.1-2*2*2*1.6+2*2*1.6)+2*3*4.35*2.8-2*2*0.8*2.1-2*2.6*2.4+2*2*0.6*2.8+((2*1*(0.15+6.52+0.15+3.84+0.15))+(2*1*4.35))*2</f>
        <v>198.92399999999998</v>
      </c>
    </row>
    <row r="54" spans="1:8" ht="54" customHeight="1" x14ac:dyDescent="0.25">
      <c r="A54" s="16" t="s">
        <v>121</v>
      </c>
      <c r="B54" s="6" t="s">
        <v>126</v>
      </c>
      <c r="C54" s="2" t="s">
        <v>254</v>
      </c>
      <c r="D54" s="33" t="s">
        <v>47</v>
      </c>
      <c r="E54" s="116" t="s">
        <v>270</v>
      </c>
      <c r="F54" s="116"/>
      <c r="G54" s="116"/>
      <c r="H54" s="34">
        <f>4.35*1.2+4.35*0.6</f>
        <v>7.83</v>
      </c>
    </row>
    <row r="55" spans="1:8" ht="67.5" customHeight="1" x14ac:dyDescent="0.25">
      <c r="A55" s="16" t="s">
        <v>122</v>
      </c>
      <c r="B55" s="6" t="s">
        <v>128</v>
      </c>
      <c r="C55" s="2" t="s">
        <v>255</v>
      </c>
      <c r="D55" s="33" t="s">
        <v>47</v>
      </c>
      <c r="E55" s="116" t="s">
        <v>273</v>
      </c>
      <c r="F55" s="116"/>
      <c r="G55" s="116"/>
      <c r="H55" s="34">
        <f>(4.35*2+3.84*2)*2.7-3*0.8*2.1-2*1.6</f>
        <v>35.985999999999997</v>
      </c>
    </row>
    <row r="56" spans="1:8" ht="13.5" customHeight="1" x14ac:dyDescent="0.25">
      <c r="A56" s="16"/>
      <c r="B56" s="16"/>
      <c r="C56" s="28"/>
      <c r="D56" s="33"/>
      <c r="E56" s="116"/>
      <c r="F56" s="116"/>
      <c r="G56" s="116"/>
      <c r="H56" s="34"/>
    </row>
    <row r="57" spans="1:8" ht="15" customHeight="1" x14ac:dyDescent="0.25">
      <c r="A57" s="12">
        <v>7</v>
      </c>
      <c r="B57" s="13"/>
      <c r="C57" s="30" t="s">
        <v>129</v>
      </c>
      <c r="D57" s="117"/>
      <c r="E57" s="118"/>
      <c r="F57" s="118"/>
      <c r="G57" s="118"/>
      <c r="H57" s="119"/>
    </row>
    <row r="58" spans="1:8" ht="25.5" customHeight="1" x14ac:dyDescent="0.25">
      <c r="A58" s="16" t="s">
        <v>132</v>
      </c>
      <c r="B58" s="16" t="s">
        <v>301</v>
      </c>
      <c r="C58" s="28" t="s">
        <v>300</v>
      </c>
      <c r="D58" s="33" t="s">
        <v>47</v>
      </c>
      <c r="E58" s="116" t="s">
        <v>274</v>
      </c>
      <c r="F58" s="116"/>
      <c r="G58" s="116"/>
      <c r="H58" s="34">
        <f>(0.6+6.52+3.84+1.2)*4.35*0.06+(7-0.15-0.15)*(3-0.15)*0.06</f>
        <v>4.3194599999999994</v>
      </c>
    </row>
    <row r="59" spans="1:8" ht="25.5" customHeight="1" x14ac:dyDescent="0.25">
      <c r="A59" s="16" t="s">
        <v>133</v>
      </c>
      <c r="B59" s="1" t="s">
        <v>131</v>
      </c>
      <c r="C59" s="27" t="s">
        <v>130</v>
      </c>
      <c r="D59" s="33" t="s">
        <v>47</v>
      </c>
      <c r="E59" s="116" t="s">
        <v>275</v>
      </c>
      <c r="F59" s="116"/>
      <c r="G59" s="116"/>
      <c r="H59" s="34">
        <f>(0.6+6.52+3.84+1.2)*4.35*0.06+(7-0.15-0.15)*(3-0.15)*0.06+0.9*6.52</f>
        <v>10.187459999999998</v>
      </c>
    </row>
    <row r="60" spans="1:8" ht="68.25" customHeight="1" x14ac:dyDescent="0.25">
      <c r="A60" s="16" t="s">
        <v>134</v>
      </c>
      <c r="B60" s="6" t="s">
        <v>139</v>
      </c>
      <c r="C60" s="2" t="s">
        <v>256</v>
      </c>
      <c r="D60" s="33" t="s">
        <v>47</v>
      </c>
      <c r="E60" s="116" t="s">
        <v>276</v>
      </c>
      <c r="F60" s="116"/>
      <c r="G60" s="116"/>
      <c r="H60" s="34">
        <f>6.52*4.35</f>
        <v>28.361999999999995</v>
      </c>
    </row>
    <row r="61" spans="1:8" ht="63.75" customHeight="1" x14ac:dyDescent="0.25">
      <c r="A61" s="16" t="s">
        <v>135</v>
      </c>
      <c r="B61" s="6" t="s">
        <v>140</v>
      </c>
      <c r="C61" s="2" t="s">
        <v>141</v>
      </c>
      <c r="D61" s="33" t="s">
        <v>47</v>
      </c>
      <c r="E61" s="116" t="s">
        <v>277</v>
      </c>
      <c r="F61" s="116"/>
      <c r="G61" s="116"/>
      <c r="H61" s="34">
        <f>3.84*4.35</f>
        <v>16.703999999999997</v>
      </c>
    </row>
    <row r="62" spans="1:8" ht="12.75" customHeight="1" x14ac:dyDescent="0.25">
      <c r="A62" s="16" t="s">
        <v>136</v>
      </c>
      <c r="B62" s="6" t="s">
        <v>142</v>
      </c>
      <c r="C62" s="7" t="s">
        <v>143</v>
      </c>
      <c r="D62" s="33" t="s">
        <v>47</v>
      </c>
      <c r="E62" s="116" t="s">
        <v>363</v>
      </c>
      <c r="F62" s="116"/>
      <c r="G62" s="116"/>
      <c r="H62" s="34">
        <f>0.92*(0.02+0.25)*16+0.92*0.16*17+0.92*0.94</f>
        <v>7.3416000000000006</v>
      </c>
    </row>
    <row r="63" spans="1:8" ht="67.5" customHeight="1" x14ac:dyDescent="0.25">
      <c r="A63" s="16" t="s">
        <v>137</v>
      </c>
      <c r="B63" s="6" t="s">
        <v>145</v>
      </c>
      <c r="C63" s="2" t="s">
        <v>257</v>
      </c>
      <c r="D63" s="33" t="s">
        <v>47</v>
      </c>
      <c r="E63" s="116" t="s">
        <v>278</v>
      </c>
      <c r="F63" s="116"/>
      <c r="G63" s="116"/>
      <c r="H63" s="34">
        <f>1.2*3.45+3*7</f>
        <v>25.14</v>
      </c>
    </row>
    <row r="64" spans="1:8" ht="13.5" customHeight="1" x14ac:dyDescent="0.25">
      <c r="A64" s="16"/>
      <c r="B64" s="6"/>
      <c r="C64" s="7"/>
      <c r="D64" s="33"/>
      <c r="E64" s="116"/>
      <c r="F64" s="116"/>
      <c r="G64" s="116"/>
      <c r="H64" s="34"/>
    </row>
    <row r="65" spans="1:8" ht="15" customHeight="1" x14ac:dyDescent="0.25">
      <c r="A65" s="12">
        <v>8</v>
      </c>
      <c r="B65" s="13"/>
      <c r="C65" s="30" t="s">
        <v>180</v>
      </c>
      <c r="D65" s="117"/>
      <c r="E65" s="118"/>
      <c r="F65" s="118"/>
      <c r="G65" s="118"/>
      <c r="H65" s="119"/>
    </row>
    <row r="66" spans="1:8" ht="55.5" customHeight="1" x14ac:dyDescent="0.25">
      <c r="A66" s="48" t="s">
        <v>149</v>
      </c>
      <c r="B66" s="57" t="s">
        <v>181</v>
      </c>
      <c r="C66" s="58" t="s">
        <v>182</v>
      </c>
      <c r="D66" s="33" t="s">
        <v>47</v>
      </c>
      <c r="E66" s="116" t="s">
        <v>295</v>
      </c>
      <c r="F66" s="116"/>
      <c r="G66" s="116"/>
      <c r="H66" s="34">
        <f>(2*6.52+2*3.84-2*0.8-2.6-1.6+4.35-0.8+1.2)*1.1</f>
        <v>21.636999999999997</v>
      </c>
    </row>
    <row r="67" spans="1:8" ht="12.75" customHeight="1" x14ac:dyDescent="0.25">
      <c r="A67" s="48" t="s">
        <v>150</v>
      </c>
      <c r="B67" s="57" t="s">
        <v>357</v>
      </c>
      <c r="C67" s="7" t="s">
        <v>279</v>
      </c>
      <c r="D67" s="33" t="s">
        <v>47</v>
      </c>
      <c r="E67" s="116" t="s">
        <v>364</v>
      </c>
      <c r="F67" s="116"/>
      <c r="G67" s="116"/>
      <c r="H67" s="34">
        <f>(2*(0.02+0.25)*16+0.16*17+0.94)</f>
        <v>12.3</v>
      </c>
    </row>
    <row r="68" spans="1:8" ht="12.75" customHeight="1" x14ac:dyDescent="0.25">
      <c r="A68" s="48" t="s">
        <v>151</v>
      </c>
      <c r="B68" s="6" t="s">
        <v>142</v>
      </c>
      <c r="C68" s="7" t="s">
        <v>146</v>
      </c>
      <c r="D68" s="33" t="s">
        <v>47</v>
      </c>
      <c r="E68" s="116" t="s">
        <v>280</v>
      </c>
      <c r="F68" s="116"/>
      <c r="G68" s="116"/>
      <c r="H68" s="34">
        <f>2*2.04*0.19</f>
        <v>0.7752</v>
      </c>
    </row>
    <row r="69" spans="1:8" ht="12.75" customHeight="1" x14ac:dyDescent="0.25">
      <c r="A69" s="48" t="s">
        <v>152</v>
      </c>
      <c r="B69" s="6" t="s">
        <v>142</v>
      </c>
      <c r="C69" s="7" t="s">
        <v>147</v>
      </c>
      <c r="D69" s="33" t="s">
        <v>47</v>
      </c>
      <c r="E69" s="116" t="s">
        <v>365</v>
      </c>
      <c r="F69" s="116"/>
      <c r="G69" s="116"/>
      <c r="H69" s="34">
        <f>4*0.84*0.15+1.64*0.15+2.64*0.15+5.5*0.15</f>
        <v>1.9709999999999999</v>
      </c>
    </row>
    <row r="70" spans="1:8" ht="12.75" customHeight="1" x14ac:dyDescent="0.25">
      <c r="A70" s="16"/>
      <c r="B70" s="6"/>
      <c r="C70" s="7"/>
      <c r="D70" s="33"/>
      <c r="E70" s="116"/>
      <c r="F70" s="116"/>
      <c r="G70" s="116"/>
      <c r="H70" s="34"/>
    </row>
    <row r="71" spans="1:8" ht="12.75" customHeight="1" x14ac:dyDescent="0.25">
      <c r="A71" s="12">
        <v>9</v>
      </c>
      <c r="B71" s="13"/>
      <c r="C71" s="30" t="s">
        <v>165</v>
      </c>
      <c r="D71" s="117"/>
      <c r="E71" s="118"/>
      <c r="F71" s="118"/>
      <c r="G71" s="118"/>
      <c r="H71" s="119"/>
    </row>
    <row r="72" spans="1:8" ht="54" customHeight="1" x14ac:dyDescent="0.25">
      <c r="A72" s="16" t="s">
        <v>166</v>
      </c>
      <c r="B72" s="6" t="s">
        <v>39</v>
      </c>
      <c r="C72" s="2" t="s">
        <v>330</v>
      </c>
      <c r="D72" s="33" t="s">
        <v>47</v>
      </c>
      <c r="E72" s="116" t="s">
        <v>366</v>
      </c>
      <c r="F72" s="116"/>
      <c r="G72" s="116"/>
      <c r="H72" s="34">
        <f>2*2*1.6+4*0.8*2.1+1.6*2.1+2.6*2.4</f>
        <v>22.72</v>
      </c>
    </row>
    <row r="73" spans="1:8" ht="13.5" customHeight="1" x14ac:dyDescent="0.25">
      <c r="A73" s="16"/>
      <c r="B73" s="6"/>
      <c r="C73" s="7"/>
      <c r="D73" s="33"/>
      <c r="E73" s="116"/>
      <c r="F73" s="116"/>
      <c r="G73" s="116"/>
      <c r="H73" s="34"/>
    </row>
    <row r="74" spans="1:8" ht="26.25" customHeight="1" x14ac:dyDescent="0.25">
      <c r="A74" s="12">
        <v>10</v>
      </c>
      <c r="B74" s="13"/>
      <c r="C74" s="30" t="s">
        <v>358</v>
      </c>
      <c r="D74" s="117"/>
      <c r="E74" s="118"/>
      <c r="F74" s="118"/>
      <c r="G74" s="118"/>
      <c r="H74" s="119"/>
    </row>
    <row r="75" spans="1:8" ht="77.25" customHeight="1" x14ac:dyDescent="0.25">
      <c r="A75" s="16" t="s">
        <v>168</v>
      </c>
      <c r="B75" s="6" t="s">
        <v>39</v>
      </c>
      <c r="C75" s="7" t="s">
        <v>169</v>
      </c>
      <c r="D75" s="33" t="s">
        <v>47</v>
      </c>
      <c r="E75" s="116" t="s">
        <v>281</v>
      </c>
      <c r="F75" s="116"/>
      <c r="G75" s="116"/>
      <c r="H75" s="34">
        <f>7*3+(7+3+3)*0.5</f>
        <v>27.5</v>
      </c>
    </row>
    <row r="76" spans="1:8" ht="88.5" customHeight="1" x14ac:dyDescent="0.25">
      <c r="A76" s="16" t="s">
        <v>331</v>
      </c>
      <c r="B76" s="6" t="s">
        <v>39</v>
      </c>
      <c r="C76" s="7" t="s">
        <v>370</v>
      </c>
      <c r="D76" s="33" t="s">
        <v>47</v>
      </c>
      <c r="E76" s="116" t="s">
        <v>307</v>
      </c>
      <c r="F76" s="116"/>
      <c r="G76" s="116"/>
      <c r="H76" s="34">
        <f>(1.45+0.15+7.47+0.15+1.89)*4.05</f>
        <v>44.9955</v>
      </c>
    </row>
    <row r="77" spans="1:8" ht="29.25" customHeight="1" x14ac:dyDescent="0.25">
      <c r="A77" s="16" t="s">
        <v>332</v>
      </c>
      <c r="B77" s="6" t="s">
        <v>306</v>
      </c>
      <c r="C77" s="2" t="s">
        <v>305</v>
      </c>
      <c r="D77" s="33" t="s">
        <v>47</v>
      </c>
      <c r="E77" s="116" t="s">
        <v>371</v>
      </c>
      <c r="F77" s="116"/>
      <c r="G77" s="116"/>
      <c r="H77" s="34">
        <f>(7*3+(7+3+3)*0.5)+((1.45+0.15+7.47+0.15+1.89)*4.05)</f>
        <v>72.495499999999993</v>
      </c>
    </row>
    <row r="78" spans="1:8" ht="45.75" customHeight="1" x14ac:dyDescent="0.25">
      <c r="A78" s="16" t="s">
        <v>333</v>
      </c>
      <c r="B78" s="6" t="s">
        <v>170</v>
      </c>
      <c r="C78" s="7" t="s">
        <v>171</v>
      </c>
      <c r="D78" s="33" t="s">
        <v>47</v>
      </c>
      <c r="E78" s="116" t="s">
        <v>372</v>
      </c>
      <c r="F78" s="116"/>
      <c r="G78" s="116"/>
      <c r="H78" s="34">
        <f>7+1.45+0.15+7.47+0.15+1.89</f>
        <v>18.11</v>
      </c>
    </row>
    <row r="79" spans="1:8" ht="25.5" customHeight="1" x14ac:dyDescent="0.25">
      <c r="A79" s="16" t="s">
        <v>359</v>
      </c>
      <c r="B79" s="6" t="s">
        <v>172</v>
      </c>
      <c r="C79" s="7" t="s">
        <v>173</v>
      </c>
      <c r="D79" s="33" t="s">
        <v>47</v>
      </c>
      <c r="E79" s="116" t="s">
        <v>373</v>
      </c>
      <c r="F79" s="116"/>
      <c r="G79" s="116"/>
      <c r="H79" s="34">
        <f>2.8+0.5+1+6+1.5+3.3+3+6</f>
        <v>24.1</v>
      </c>
    </row>
    <row r="80" spans="1:8" ht="39" customHeight="1" x14ac:dyDescent="0.25">
      <c r="A80" s="16" t="s">
        <v>376</v>
      </c>
      <c r="B80" s="6" t="s">
        <v>360</v>
      </c>
      <c r="C80" s="7" t="s">
        <v>361</v>
      </c>
      <c r="D80" s="33" t="s">
        <v>47</v>
      </c>
      <c r="E80" s="116" t="s">
        <v>374</v>
      </c>
      <c r="F80" s="116"/>
      <c r="G80" s="116"/>
      <c r="H80" s="34">
        <f>7+2*3+1.45+0.15+7.47+0.15+1.89+2*4.35</f>
        <v>32.81</v>
      </c>
    </row>
    <row r="81" spans="1:8" ht="14.25" customHeight="1" x14ac:dyDescent="0.25">
      <c r="A81" s="16"/>
      <c r="B81" s="6"/>
      <c r="C81" s="7"/>
      <c r="D81" s="33"/>
      <c r="E81" s="116"/>
      <c r="F81" s="116"/>
      <c r="G81" s="116"/>
      <c r="H81" s="34"/>
    </row>
    <row r="82" spans="1:8" ht="12.75" customHeight="1" x14ac:dyDescent="0.25">
      <c r="A82" s="12">
        <v>11</v>
      </c>
      <c r="B82" s="13"/>
      <c r="C82" s="30" t="s">
        <v>183</v>
      </c>
      <c r="D82" s="117"/>
      <c r="E82" s="118"/>
      <c r="F82" s="118"/>
      <c r="G82" s="118"/>
      <c r="H82" s="119"/>
    </row>
    <row r="83" spans="1:8" ht="55.5" customHeight="1" x14ac:dyDescent="0.25">
      <c r="A83" s="16" t="s">
        <v>174</v>
      </c>
      <c r="B83" s="6" t="s">
        <v>184</v>
      </c>
      <c r="C83" s="7" t="s">
        <v>185</v>
      </c>
      <c r="D83" s="33" t="s">
        <v>47</v>
      </c>
      <c r="E83" s="116">
        <v>1</v>
      </c>
      <c r="F83" s="116"/>
      <c r="G83" s="116"/>
      <c r="H83" s="34">
        <f>1</f>
        <v>1</v>
      </c>
    </row>
    <row r="84" spans="1:8" ht="75" customHeight="1" x14ac:dyDescent="0.25">
      <c r="A84" s="16" t="s">
        <v>175</v>
      </c>
      <c r="B84" s="6" t="s">
        <v>190</v>
      </c>
      <c r="C84" s="2" t="s">
        <v>187</v>
      </c>
      <c r="D84" s="33" t="s">
        <v>47</v>
      </c>
      <c r="E84" s="116" t="s">
        <v>282</v>
      </c>
      <c r="F84" s="116"/>
      <c r="G84" s="116"/>
      <c r="H84" s="34">
        <f>4</f>
        <v>4</v>
      </c>
    </row>
    <row r="85" spans="1:8" ht="93" customHeight="1" x14ac:dyDescent="0.25">
      <c r="A85" s="16" t="s">
        <v>176</v>
      </c>
      <c r="B85" s="6" t="s">
        <v>188</v>
      </c>
      <c r="C85" s="7" t="s">
        <v>189</v>
      </c>
      <c r="D85" s="33" t="s">
        <v>47</v>
      </c>
      <c r="E85" s="116" t="s">
        <v>283</v>
      </c>
      <c r="F85" s="116"/>
      <c r="G85" s="116"/>
      <c r="H85" s="34">
        <v>2</v>
      </c>
    </row>
    <row r="86" spans="1:8" ht="34.5" customHeight="1" x14ac:dyDescent="0.25">
      <c r="A86" s="16" t="s">
        <v>177</v>
      </c>
      <c r="B86" s="6" t="s">
        <v>192</v>
      </c>
      <c r="C86" s="7" t="s">
        <v>191</v>
      </c>
      <c r="D86" s="33" t="s">
        <v>47</v>
      </c>
      <c r="E86" s="116" t="s">
        <v>283</v>
      </c>
      <c r="F86" s="116"/>
      <c r="G86" s="116"/>
      <c r="H86" s="34">
        <f>2</f>
        <v>2</v>
      </c>
    </row>
    <row r="87" spans="1:8" ht="80.25" customHeight="1" x14ac:dyDescent="0.25">
      <c r="A87" s="16" t="s">
        <v>334</v>
      </c>
      <c r="B87" s="6" t="s">
        <v>193</v>
      </c>
      <c r="C87" s="7" t="s">
        <v>194</v>
      </c>
      <c r="D87" s="33" t="s">
        <v>47</v>
      </c>
      <c r="E87" s="116" t="s">
        <v>283</v>
      </c>
      <c r="F87" s="116"/>
      <c r="G87" s="116"/>
      <c r="H87" s="34">
        <v>2</v>
      </c>
    </row>
    <row r="88" spans="1:8" ht="42.75" customHeight="1" x14ac:dyDescent="0.25">
      <c r="A88" s="16" t="s">
        <v>335</v>
      </c>
      <c r="B88" s="6" t="s">
        <v>195</v>
      </c>
      <c r="C88" s="7" t="s">
        <v>196</v>
      </c>
      <c r="D88" s="33" t="s">
        <v>47</v>
      </c>
      <c r="E88" s="116" t="s">
        <v>285</v>
      </c>
      <c r="F88" s="116"/>
      <c r="G88" s="116"/>
      <c r="H88" s="34">
        <v>6</v>
      </c>
    </row>
    <row r="89" spans="1:8" ht="44.25" customHeight="1" x14ac:dyDescent="0.25">
      <c r="A89" s="16" t="s">
        <v>336</v>
      </c>
      <c r="B89" s="6" t="s">
        <v>198</v>
      </c>
      <c r="C89" s="7" t="s">
        <v>197</v>
      </c>
      <c r="D89" s="33" t="s">
        <v>47</v>
      </c>
      <c r="E89" s="116" t="s">
        <v>284</v>
      </c>
      <c r="F89" s="116"/>
      <c r="G89" s="116"/>
      <c r="H89" s="34">
        <f>18</f>
        <v>18</v>
      </c>
    </row>
    <row r="90" spans="1:8" ht="43.5" customHeight="1" x14ac:dyDescent="0.25">
      <c r="A90" s="16" t="s">
        <v>337</v>
      </c>
      <c r="B90" s="6" t="s">
        <v>199</v>
      </c>
      <c r="C90" s="7" t="s">
        <v>200</v>
      </c>
      <c r="D90" s="33" t="s">
        <v>47</v>
      </c>
      <c r="E90" s="116" t="s">
        <v>286</v>
      </c>
      <c r="F90" s="116"/>
      <c r="G90" s="116"/>
      <c r="H90" s="34">
        <v>24</v>
      </c>
    </row>
    <row r="91" spans="1:8" ht="40.5" customHeight="1" x14ac:dyDescent="0.25">
      <c r="A91" s="16" t="s">
        <v>338</v>
      </c>
      <c r="B91" s="6" t="s">
        <v>201</v>
      </c>
      <c r="C91" s="7" t="s">
        <v>202</v>
      </c>
      <c r="D91" s="33" t="s">
        <v>47</v>
      </c>
      <c r="E91" s="116" t="s">
        <v>285</v>
      </c>
      <c r="F91" s="116"/>
      <c r="G91" s="116"/>
      <c r="H91" s="34">
        <f>6</f>
        <v>6</v>
      </c>
    </row>
    <row r="92" spans="1:8" ht="51.75" customHeight="1" x14ac:dyDescent="0.25">
      <c r="A92" s="16" t="s">
        <v>339</v>
      </c>
      <c r="B92" s="6" t="s">
        <v>203</v>
      </c>
      <c r="C92" s="7" t="s">
        <v>204</v>
      </c>
      <c r="D92" s="33" t="s">
        <v>47</v>
      </c>
      <c r="E92" s="116" t="s">
        <v>287</v>
      </c>
      <c r="F92" s="116"/>
      <c r="G92" s="116"/>
      <c r="H92" s="34">
        <f>1</f>
        <v>1</v>
      </c>
    </row>
    <row r="93" spans="1:8" ht="80.25" customHeight="1" x14ac:dyDescent="0.25">
      <c r="A93" s="16" t="s">
        <v>340</v>
      </c>
      <c r="B93" s="6" t="s">
        <v>205</v>
      </c>
      <c r="C93" s="7" t="s">
        <v>206</v>
      </c>
      <c r="D93" s="33" t="s">
        <v>47</v>
      </c>
      <c r="E93" s="116" t="s">
        <v>287</v>
      </c>
      <c r="F93" s="116"/>
      <c r="G93" s="116"/>
      <c r="H93" s="34">
        <f>1</f>
        <v>1</v>
      </c>
    </row>
    <row r="94" spans="1:8" ht="78" customHeight="1" x14ac:dyDescent="0.25">
      <c r="A94" s="16" t="s">
        <v>341</v>
      </c>
      <c r="B94" s="6" t="s">
        <v>207</v>
      </c>
      <c r="C94" s="7" t="s">
        <v>208</v>
      </c>
      <c r="D94" s="33" t="s">
        <v>47</v>
      </c>
      <c r="E94" s="116" t="s">
        <v>287</v>
      </c>
      <c r="F94" s="116"/>
      <c r="G94" s="116"/>
      <c r="H94" s="34">
        <f>1</f>
        <v>1</v>
      </c>
    </row>
    <row r="95" spans="1:8" ht="53.25" customHeight="1" x14ac:dyDescent="0.25">
      <c r="A95" s="16" t="s">
        <v>342</v>
      </c>
      <c r="B95" s="6" t="s">
        <v>209</v>
      </c>
      <c r="C95" s="7" t="s">
        <v>210</v>
      </c>
      <c r="D95" s="33" t="s">
        <v>47</v>
      </c>
      <c r="E95" s="116" t="s">
        <v>287</v>
      </c>
      <c r="F95" s="116"/>
      <c r="G95" s="116"/>
      <c r="H95" s="34">
        <f>1</f>
        <v>1</v>
      </c>
    </row>
    <row r="96" spans="1:8" ht="42.75" customHeight="1" x14ac:dyDescent="0.25">
      <c r="A96" s="16" t="s">
        <v>343</v>
      </c>
      <c r="B96" s="6" t="s">
        <v>211</v>
      </c>
      <c r="C96" s="7" t="s">
        <v>212</v>
      </c>
      <c r="D96" s="33" t="s">
        <v>47</v>
      </c>
      <c r="E96" s="116" t="s">
        <v>287</v>
      </c>
      <c r="F96" s="116"/>
      <c r="G96" s="116"/>
      <c r="H96" s="34">
        <f>1</f>
        <v>1</v>
      </c>
    </row>
    <row r="97" spans="1:8" ht="13.5" customHeight="1" x14ac:dyDescent="0.25">
      <c r="A97" s="16" t="s">
        <v>344</v>
      </c>
      <c r="B97" s="6" t="s">
        <v>142</v>
      </c>
      <c r="C97" s="7" t="s">
        <v>213</v>
      </c>
      <c r="D97" s="33" t="s">
        <v>47</v>
      </c>
      <c r="E97" s="116" t="s">
        <v>296</v>
      </c>
      <c r="F97" s="116"/>
      <c r="G97" s="116"/>
      <c r="H97" s="34">
        <f>2*1.2*0.6*1.1</f>
        <v>1.5840000000000001</v>
      </c>
    </row>
    <row r="98" spans="1:8" ht="13.5" customHeight="1" x14ac:dyDescent="0.25">
      <c r="A98" s="16"/>
      <c r="B98" s="6"/>
      <c r="C98" s="7"/>
      <c r="D98" s="33"/>
      <c r="E98" s="116"/>
      <c r="F98" s="116"/>
      <c r="G98" s="116"/>
      <c r="H98" s="34"/>
    </row>
    <row r="99" spans="1:8" ht="15" customHeight="1" x14ac:dyDescent="0.25">
      <c r="A99" s="12">
        <v>12</v>
      </c>
      <c r="B99" s="13"/>
      <c r="C99" s="30" t="s">
        <v>221</v>
      </c>
      <c r="D99" s="117"/>
      <c r="E99" s="118"/>
      <c r="F99" s="118"/>
      <c r="G99" s="118"/>
      <c r="H99" s="119"/>
    </row>
    <row r="100" spans="1:8" ht="130.5" customHeight="1" x14ac:dyDescent="0.25">
      <c r="A100" s="48" t="s">
        <v>178</v>
      </c>
      <c r="B100" s="57" t="s">
        <v>224</v>
      </c>
      <c r="C100" s="58" t="s">
        <v>222</v>
      </c>
      <c r="D100" s="33" t="s">
        <v>47</v>
      </c>
      <c r="E100" s="116" t="s">
        <v>288</v>
      </c>
      <c r="F100" s="116"/>
      <c r="G100" s="116"/>
      <c r="H100" s="34">
        <f>5</f>
        <v>5</v>
      </c>
    </row>
    <row r="101" spans="1:8" ht="105" customHeight="1" x14ac:dyDescent="0.25">
      <c r="A101" s="48" t="s">
        <v>179</v>
      </c>
      <c r="B101" s="57" t="s">
        <v>226</v>
      </c>
      <c r="C101" s="58" t="s">
        <v>225</v>
      </c>
      <c r="D101" s="33" t="s">
        <v>47</v>
      </c>
      <c r="E101" s="116" t="s">
        <v>282</v>
      </c>
      <c r="F101" s="116"/>
      <c r="G101" s="116"/>
      <c r="H101" s="34">
        <f>4</f>
        <v>4</v>
      </c>
    </row>
    <row r="102" spans="1:8" ht="134.25" customHeight="1" x14ac:dyDescent="0.25">
      <c r="A102" s="48" t="s">
        <v>214</v>
      </c>
      <c r="B102" s="57" t="s">
        <v>227</v>
      </c>
      <c r="C102" s="58" t="s">
        <v>228</v>
      </c>
      <c r="D102" s="33" t="s">
        <v>47</v>
      </c>
      <c r="E102" s="116" t="s">
        <v>289</v>
      </c>
      <c r="F102" s="116"/>
      <c r="G102" s="116"/>
      <c r="H102" s="34">
        <f>9</f>
        <v>9</v>
      </c>
    </row>
    <row r="103" spans="1:8" ht="44.25" customHeight="1" x14ac:dyDescent="0.25">
      <c r="A103" s="48" t="s">
        <v>215</v>
      </c>
      <c r="B103" s="57" t="s">
        <v>229</v>
      </c>
      <c r="C103" s="58" t="s">
        <v>230</v>
      </c>
      <c r="D103" s="33" t="s">
        <v>47</v>
      </c>
      <c r="E103" s="116" t="s">
        <v>287</v>
      </c>
      <c r="F103" s="116"/>
      <c r="G103" s="116"/>
      <c r="H103" s="34">
        <f>1</f>
        <v>1</v>
      </c>
    </row>
    <row r="104" spans="1:8" ht="13.5" customHeight="1" x14ac:dyDescent="0.25">
      <c r="A104" s="48" t="s">
        <v>216</v>
      </c>
      <c r="B104" s="57" t="s">
        <v>231</v>
      </c>
      <c r="C104" s="58" t="s">
        <v>232</v>
      </c>
      <c r="D104" s="33" t="s">
        <v>47</v>
      </c>
      <c r="E104" s="116" t="s">
        <v>283</v>
      </c>
      <c r="F104" s="116"/>
      <c r="G104" s="116"/>
      <c r="H104" s="34">
        <f>2</f>
        <v>2</v>
      </c>
    </row>
    <row r="105" spans="1:8" ht="27.75" customHeight="1" x14ac:dyDescent="0.25">
      <c r="A105" s="48" t="s">
        <v>217</v>
      </c>
      <c r="B105" s="57" t="s">
        <v>39</v>
      </c>
      <c r="C105" s="58" t="s">
        <v>233</v>
      </c>
      <c r="D105" s="33" t="s">
        <v>47</v>
      </c>
      <c r="E105" s="116" t="s">
        <v>290</v>
      </c>
      <c r="F105" s="116"/>
      <c r="G105" s="116"/>
      <c r="H105" s="34">
        <v>3</v>
      </c>
    </row>
    <row r="106" spans="1:8" ht="29.25" customHeight="1" x14ac:dyDescent="0.25">
      <c r="A106" s="48" t="s">
        <v>218</v>
      </c>
      <c r="B106" s="57" t="s">
        <v>39</v>
      </c>
      <c r="C106" s="58" t="s">
        <v>234</v>
      </c>
      <c r="D106" s="33" t="s">
        <v>47</v>
      </c>
      <c r="E106" s="116" t="s">
        <v>283</v>
      </c>
      <c r="F106" s="116"/>
      <c r="G106" s="116"/>
      <c r="H106" s="34">
        <f>2</f>
        <v>2</v>
      </c>
    </row>
    <row r="107" spans="1:8" ht="25.5" customHeight="1" x14ac:dyDescent="0.25">
      <c r="A107" s="48" t="s">
        <v>219</v>
      </c>
      <c r="B107" s="6" t="s">
        <v>235</v>
      </c>
      <c r="C107" s="7" t="s">
        <v>236</v>
      </c>
      <c r="D107" s="33" t="s">
        <v>47</v>
      </c>
      <c r="E107" s="116" t="s">
        <v>287</v>
      </c>
      <c r="F107" s="116"/>
      <c r="G107" s="116"/>
      <c r="H107" s="34">
        <f>1</f>
        <v>1</v>
      </c>
    </row>
    <row r="108" spans="1:8" ht="52.5" customHeight="1" x14ac:dyDescent="0.25">
      <c r="A108" s="48" t="s">
        <v>220</v>
      </c>
      <c r="B108" s="6" t="s">
        <v>237</v>
      </c>
      <c r="C108" s="7" t="s">
        <v>238</v>
      </c>
      <c r="D108" s="33" t="s">
        <v>47</v>
      </c>
      <c r="E108" s="116" t="s">
        <v>291</v>
      </c>
      <c r="F108" s="116"/>
      <c r="G108" s="116"/>
      <c r="H108" s="34">
        <v>100</v>
      </c>
    </row>
    <row r="109" spans="1:8" ht="12.75" customHeight="1" x14ac:dyDescent="0.25">
      <c r="A109" s="48"/>
      <c r="B109" s="6"/>
      <c r="C109" s="7"/>
      <c r="D109" s="33"/>
      <c r="E109" s="116"/>
      <c r="F109" s="116"/>
      <c r="G109" s="116"/>
      <c r="H109" s="34"/>
    </row>
    <row r="110" spans="1:8" ht="15.75" customHeight="1" x14ac:dyDescent="0.25">
      <c r="A110" s="12">
        <v>13</v>
      </c>
      <c r="B110" s="13"/>
      <c r="C110" s="30" t="s">
        <v>239</v>
      </c>
      <c r="D110" s="117"/>
      <c r="E110" s="118"/>
      <c r="F110" s="118"/>
      <c r="G110" s="118"/>
      <c r="H110" s="119"/>
    </row>
    <row r="111" spans="1:8" ht="44.25" customHeight="1" x14ac:dyDescent="0.25">
      <c r="A111" s="48" t="s">
        <v>223</v>
      </c>
      <c r="B111" s="6" t="s">
        <v>240</v>
      </c>
      <c r="C111" s="7" t="s">
        <v>241</v>
      </c>
      <c r="D111" s="33" t="s">
        <v>47</v>
      </c>
      <c r="E111" s="116" t="s">
        <v>292</v>
      </c>
      <c r="F111" s="116"/>
      <c r="G111" s="116"/>
      <c r="H111" s="34">
        <f>(6.52+3.84)*4.35</f>
        <v>45.065999999999995</v>
      </c>
    </row>
    <row r="112" spans="1:8" ht="12.75" customHeight="1" x14ac:dyDescent="0.25">
      <c r="A112" s="48"/>
      <c r="B112" s="6"/>
      <c r="C112" s="7"/>
      <c r="D112" s="33"/>
      <c r="E112" s="116"/>
      <c r="F112" s="116"/>
      <c r="G112" s="116"/>
      <c r="H112" s="34"/>
    </row>
    <row r="113" spans="1:10" ht="15.75" customHeight="1" x14ac:dyDescent="0.25">
      <c r="A113" s="12">
        <v>14</v>
      </c>
      <c r="B113" s="13"/>
      <c r="C113" s="30" t="s">
        <v>243</v>
      </c>
      <c r="D113" s="117"/>
      <c r="E113" s="118"/>
      <c r="F113" s="118"/>
      <c r="G113" s="118"/>
      <c r="H113" s="119"/>
    </row>
    <row r="114" spans="1:10" ht="30" customHeight="1" x14ac:dyDescent="0.25">
      <c r="A114" s="48" t="s">
        <v>242</v>
      </c>
      <c r="B114" s="6" t="s">
        <v>244</v>
      </c>
      <c r="C114" s="7" t="s">
        <v>245</v>
      </c>
      <c r="D114" s="33" t="s">
        <v>47</v>
      </c>
      <c r="E114" s="116" t="s">
        <v>293</v>
      </c>
      <c r="F114" s="116"/>
      <c r="G114" s="116"/>
      <c r="H114" s="34">
        <f>1.2*4.35</f>
        <v>5.22</v>
      </c>
    </row>
    <row r="115" spans="1:10" ht="13.5" customHeight="1" x14ac:dyDescent="0.25">
      <c r="A115" s="48"/>
      <c r="B115" s="6"/>
      <c r="C115" s="7"/>
      <c r="D115" s="33"/>
      <c r="E115" s="116"/>
      <c r="F115" s="116"/>
      <c r="G115" s="116"/>
      <c r="H115" s="34"/>
    </row>
    <row r="116" spans="1:10" ht="15.75" customHeight="1" x14ac:dyDescent="0.25">
      <c r="A116" s="12">
        <v>15</v>
      </c>
      <c r="B116" s="13"/>
      <c r="C116" s="30" t="s">
        <v>148</v>
      </c>
      <c r="D116" s="117"/>
      <c r="E116" s="118"/>
      <c r="F116" s="118"/>
      <c r="G116" s="118"/>
      <c r="H116" s="119"/>
    </row>
    <row r="117" spans="1:10" ht="44.25" customHeight="1" x14ac:dyDescent="0.25">
      <c r="A117" s="48" t="s">
        <v>345</v>
      </c>
      <c r="B117" s="57" t="s">
        <v>153</v>
      </c>
      <c r="C117" s="58" t="s">
        <v>154</v>
      </c>
      <c r="D117" s="33" t="s">
        <v>47</v>
      </c>
      <c r="E117" s="116" t="s">
        <v>294</v>
      </c>
      <c r="F117" s="116"/>
      <c r="G117" s="116"/>
      <c r="H117" s="34">
        <f>(3*2.8*(0.15+6.52+0.15+3.84+0.15)-2*2*0.8*2.1-2*2*2*1.6+2*2*1.6)+2*3*4.35*2.8-2*2*0.8*2.1-2*2.6*2.4+2*2*0.6*2.8+4.35*1.2+4.35*0.6</f>
        <v>146.114</v>
      </c>
    </row>
    <row r="118" spans="1:10" ht="39.75" customHeight="1" x14ac:dyDescent="0.25">
      <c r="A118" s="48" t="s">
        <v>346</v>
      </c>
      <c r="B118" s="57" t="s">
        <v>156</v>
      </c>
      <c r="C118" s="58" t="s">
        <v>155</v>
      </c>
      <c r="D118" s="33" t="s">
        <v>47</v>
      </c>
      <c r="E118" s="116" t="s">
        <v>269</v>
      </c>
      <c r="F118" s="116"/>
      <c r="G118" s="116"/>
      <c r="H118" s="34">
        <f>(3*2.8*(0.15+6.52+0.15+3.84+0.15)-2*2*0.8*2.1-2*2*2*1.6+2*2*1.6)+2*3*4.35*2.8-2*2*0.8*2.1-2*2.6*2.4+2*2*0.6*2.8</f>
        <v>138.28399999999999</v>
      </c>
    </row>
    <row r="119" spans="1:10" ht="33" customHeight="1" x14ac:dyDescent="0.25">
      <c r="A119" s="48" t="s">
        <v>347</v>
      </c>
      <c r="B119" s="57" t="s">
        <v>158</v>
      </c>
      <c r="C119" s="58" t="s">
        <v>157</v>
      </c>
      <c r="D119" s="33" t="s">
        <v>47</v>
      </c>
      <c r="E119" s="116" t="s">
        <v>270</v>
      </c>
      <c r="F119" s="116"/>
      <c r="G119" s="116"/>
      <c r="H119" s="34">
        <f>4.35*1.2+4.35*0.6</f>
        <v>7.83</v>
      </c>
    </row>
    <row r="120" spans="1:10" ht="55.5" customHeight="1" x14ac:dyDescent="0.25">
      <c r="A120" s="48" t="s">
        <v>348</v>
      </c>
      <c r="B120" s="57" t="s">
        <v>160</v>
      </c>
      <c r="C120" s="58" t="s">
        <v>159</v>
      </c>
      <c r="D120" s="33" t="s">
        <v>47</v>
      </c>
      <c r="E120" s="116" t="s">
        <v>375</v>
      </c>
      <c r="F120" s="116"/>
      <c r="G120" s="116"/>
      <c r="H120" s="34">
        <f>(3*2.8*(0.15+6.52+0.15+3.84+0.15)-2*2*0.8*2.1-2*2*2*1.6+2*2*1.6)+2*3*4.35*2.8-2*2*0.8*2.1-2*2.6*2.4+2*2*0.6*2.8+(2*1*(0.15+6.52+0.15+3.84+0.15)+(2*4.35*1))</f>
        <v>168.60399999999998</v>
      </c>
    </row>
    <row r="121" spans="1:10" ht="41.25" customHeight="1" x14ac:dyDescent="0.25">
      <c r="A121" s="48" t="s">
        <v>349</v>
      </c>
      <c r="B121" s="57" t="s">
        <v>161</v>
      </c>
      <c r="C121" s="58" t="s">
        <v>162</v>
      </c>
      <c r="D121" s="33" t="s">
        <v>47</v>
      </c>
      <c r="E121" s="116" t="s">
        <v>270</v>
      </c>
      <c r="F121" s="116"/>
      <c r="G121" s="116"/>
      <c r="H121" s="34">
        <f>4.35*1.2+4.35*0.6</f>
        <v>7.83</v>
      </c>
    </row>
    <row r="122" spans="1:10" ht="38.25" customHeight="1" x14ac:dyDescent="0.25">
      <c r="A122" s="48" t="s">
        <v>350</v>
      </c>
      <c r="B122" s="57" t="s">
        <v>163</v>
      </c>
      <c r="C122" s="58" t="s">
        <v>164</v>
      </c>
      <c r="D122" s="33" t="s">
        <v>47</v>
      </c>
      <c r="E122" s="116" t="s">
        <v>352</v>
      </c>
      <c r="F122" s="116"/>
      <c r="G122" s="116"/>
      <c r="H122" s="34">
        <f>2*(7+3+3)*0.5+7*3</f>
        <v>34</v>
      </c>
    </row>
    <row r="123" spans="1:10" ht="13.5" customHeight="1" x14ac:dyDescent="0.25">
      <c r="A123" s="48"/>
      <c r="B123" s="6"/>
      <c r="C123" s="7"/>
      <c r="D123" s="33"/>
      <c r="E123" s="116"/>
      <c r="F123" s="116"/>
      <c r="G123" s="116"/>
      <c r="H123" s="34"/>
    </row>
    <row r="124" spans="1:10" ht="14.25" customHeight="1" x14ac:dyDescent="0.25">
      <c r="A124" s="12">
        <v>16</v>
      </c>
      <c r="B124" s="13"/>
      <c r="C124" s="30" t="s">
        <v>248</v>
      </c>
      <c r="D124" s="117"/>
      <c r="E124" s="118"/>
      <c r="F124" s="118"/>
      <c r="G124" s="118"/>
      <c r="H124" s="119"/>
    </row>
    <row r="125" spans="1:10" ht="30" customHeight="1" x14ac:dyDescent="0.25">
      <c r="A125" s="48" t="s">
        <v>246</v>
      </c>
      <c r="B125" s="6" t="s">
        <v>327</v>
      </c>
      <c r="C125" s="7" t="s">
        <v>326</v>
      </c>
      <c r="D125" s="33" t="s">
        <v>47</v>
      </c>
      <c r="E125" s="116" t="s">
        <v>302</v>
      </c>
      <c r="F125" s="116"/>
      <c r="G125" s="116"/>
      <c r="H125" s="34">
        <f>(6.52-1.2)</f>
        <v>5.3199999999999994</v>
      </c>
    </row>
    <row r="126" spans="1:10" ht="51.75" customHeight="1" x14ac:dyDescent="0.25">
      <c r="A126" s="48" t="s">
        <v>247</v>
      </c>
      <c r="B126" s="6" t="s">
        <v>39</v>
      </c>
      <c r="C126" s="2" t="s">
        <v>330</v>
      </c>
      <c r="D126" s="33" t="s">
        <v>47</v>
      </c>
      <c r="E126" s="116" t="s">
        <v>302</v>
      </c>
      <c r="F126" s="116"/>
      <c r="G126" s="116"/>
      <c r="H126" s="34">
        <f>(6.52-1.2)</f>
        <v>5.3199999999999994</v>
      </c>
    </row>
    <row r="127" spans="1:10" ht="12.75" customHeight="1" x14ac:dyDescent="0.25">
      <c r="A127" s="16"/>
      <c r="B127" s="6"/>
      <c r="C127" s="7"/>
      <c r="D127" s="33"/>
      <c r="E127" s="116"/>
      <c r="F127" s="116"/>
      <c r="G127" s="116"/>
      <c r="H127" s="34"/>
    </row>
    <row r="128" spans="1:10" x14ac:dyDescent="0.25">
      <c r="A128" s="12">
        <v>17</v>
      </c>
      <c r="B128" s="13"/>
      <c r="C128" s="30" t="s">
        <v>250</v>
      </c>
      <c r="D128" s="117"/>
      <c r="E128" s="118"/>
      <c r="F128" s="118"/>
      <c r="G128" s="118"/>
      <c r="H128" s="119"/>
      <c r="J128" s="41"/>
    </row>
    <row r="129" spans="1:10" ht="25.5" customHeight="1" x14ac:dyDescent="0.25">
      <c r="A129" s="48" t="s">
        <v>249</v>
      </c>
      <c r="B129" s="57" t="s">
        <v>251</v>
      </c>
      <c r="C129" s="58" t="s">
        <v>252</v>
      </c>
      <c r="D129" s="33" t="s">
        <v>47</v>
      </c>
      <c r="E129" s="116" t="s">
        <v>367</v>
      </c>
      <c r="F129" s="116"/>
      <c r="G129" s="116"/>
      <c r="H129" s="34">
        <f>4.65*(1.6+0.15+7.47+0.15+1.89+0.15+1.2)+7*3</f>
        <v>79.636500000000012</v>
      </c>
      <c r="J129" s="41"/>
    </row>
    <row r="130" spans="1:10" x14ac:dyDescent="0.25">
      <c r="A130" s="8"/>
      <c r="B130" s="37"/>
      <c r="C130" s="38"/>
      <c r="D130" s="39"/>
      <c r="E130" s="40"/>
      <c r="F130" s="40"/>
      <c r="G130" s="40"/>
      <c r="H130" s="39"/>
    </row>
    <row r="131" spans="1:10" x14ac:dyDescent="0.25">
      <c r="A131" s="106" t="s">
        <v>42</v>
      </c>
      <c r="B131" s="106"/>
      <c r="C131" s="106"/>
      <c r="D131" s="106"/>
      <c r="E131" s="106"/>
      <c r="F131" s="106"/>
      <c r="G131" s="106"/>
      <c r="H131" s="106"/>
    </row>
    <row r="132" spans="1:10" x14ac:dyDescent="0.25">
      <c r="A132" s="107"/>
      <c r="B132" s="107"/>
      <c r="C132" s="107"/>
      <c r="D132" s="107"/>
      <c r="E132" s="107"/>
      <c r="F132" s="107"/>
      <c r="G132" s="107"/>
      <c r="H132" s="107"/>
    </row>
    <row r="133" spans="1:10" ht="80.25" customHeight="1" x14ac:dyDescent="0.25">
      <c r="A133" s="108" t="s">
        <v>13</v>
      </c>
      <c r="B133" s="108"/>
      <c r="C133" s="108"/>
      <c r="D133" s="108"/>
      <c r="E133" s="108"/>
      <c r="F133" s="108"/>
      <c r="G133" s="108"/>
      <c r="H133" s="108"/>
    </row>
    <row r="134" spans="1:10" x14ac:dyDescent="0.25">
      <c r="A134" s="8"/>
      <c r="B134" s="17"/>
      <c r="C134" s="18"/>
      <c r="D134" s="11"/>
      <c r="E134" s="19"/>
      <c r="F134" s="19"/>
      <c r="G134" s="19"/>
      <c r="H134" s="19"/>
    </row>
    <row r="135" spans="1:10" ht="16.5" x14ac:dyDescent="0.25">
      <c r="A135" s="10"/>
      <c r="B135" s="20"/>
      <c r="C135" s="10"/>
      <c r="D135" s="10"/>
      <c r="E135" s="21"/>
      <c r="F135" s="21"/>
      <c r="G135" s="21"/>
      <c r="H135" s="21"/>
    </row>
    <row r="136" spans="1:10" x14ac:dyDescent="0.25">
      <c r="A136" s="103" t="s">
        <v>11</v>
      </c>
      <c r="B136" s="103"/>
      <c r="C136" s="103"/>
      <c r="D136" s="103"/>
      <c r="E136" s="103"/>
      <c r="F136" s="103"/>
      <c r="G136" s="103"/>
      <c r="H136" s="103"/>
    </row>
  </sheetData>
  <mergeCells count="136">
    <mergeCell ref="A132:H132"/>
    <mergeCell ref="A133:H133"/>
    <mergeCell ref="A136:H136"/>
    <mergeCell ref="E102:G102"/>
    <mergeCell ref="E103:G103"/>
    <mergeCell ref="E107:G107"/>
    <mergeCell ref="E108:G108"/>
    <mergeCell ref="E86:G86"/>
    <mergeCell ref="E87:G87"/>
    <mergeCell ref="E88:G88"/>
    <mergeCell ref="E89:G89"/>
    <mergeCell ref="E90:G90"/>
    <mergeCell ref="E106:G106"/>
    <mergeCell ref="E104:G104"/>
    <mergeCell ref="E105:G105"/>
    <mergeCell ref="E125:G125"/>
    <mergeCell ref="E119:G119"/>
    <mergeCell ref="E109:G109"/>
    <mergeCell ref="E111:G111"/>
    <mergeCell ref="E112:G112"/>
    <mergeCell ref="E114:G114"/>
    <mergeCell ref="E92:G92"/>
    <mergeCell ref="A1:H1"/>
    <mergeCell ref="A2:H2"/>
    <mergeCell ref="A3:H3"/>
    <mergeCell ref="A4:H4"/>
    <mergeCell ref="G5:H5"/>
    <mergeCell ref="A131:H131"/>
    <mergeCell ref="E117:G117"/>
    <mergeCell ref="E118:G118"/>
    <mergeCell ref="E120:G120"/>
    <mergeCell ref="E121:G121"/>
    <mergeCell ref="E122:G122"/>
    <mergeCell ref="E123:G123"/>
    <mergeCell ref="E127:G127"/>
    <mergeCell ref="E98:G98"/>
    <mergeCell ref="E91:G91"/>
    <mergeCell ref="E94:G94"/>
    <mergeCell ref="E39:G39"/>
    <mergeCell ref="E40:G40"/>
    <mergeCell ref="E41:G41"/>
    <mergeCell ref="D71:H71"/>
    <mergeCell ref="E42:G42"/>
    <mergeCell ref="E43:G43"/>
    <mergeCell ref="E45:G45"/>
    <mergeCell ref="E47:G47"/>
    <mergeCell ref="D11:H11"/>
    <mergeCell ref="E76:G76"/>
    <mergeCell ref="D12:H12"/>
    <mergeCell ref="E38:G38"/>
    <mergeCell ref="E14:G14"/>
    <mergeCell ref="E15:G15"/>
    <mergeCell ref="E16:G16"/>
    <mergeCell ref="E37:G37"/>
    <mergeCell ref="E62:G62"/>
    <mergeCell ref="E63:G63"/>
    <mergeCell ref="E64:G64"/>
    <mergeCell ref="E51:G51"/>
    <mergeCell ref="E52:G52"/>
    <mergeCell ref="E13:G13"/>
    <mergeCell ref="E48:G48"/>
    <mergeCell ref="E49:G49"/>
    <mergeCell ref="E58:G58"/>
    <mergeCell ref="E59:G59"/>
    <mergeCell ref="E60:G60"/>
    <mergeCell ref="E61:G61"/>
    <mergeCell ref="E70:G70"/>
    <mergeCell ref="E66:G66"/>
    <mergeCell ref="E129:G129"/>
    <mergeCell ref="D128:H128"/>
    <mergeCell ref="E115:G115"/>
    <mergeCell ref="E17:G17"/>
    <mergeCell ref="E18:G18"/>
    <mergeCell ref="E19:G19"/>
    <mergeCell ref="E20:G20"/>
    <mergeCell ref="E21:G21"/>
    <mergeCell ref="E23:G23"/>
    <mergeCell ref="E24:G24"/>
    <mergeCell ref="E25:G25"/>
    <mergeCell ref="E26:G26"/>
    <mergeCell ref="E28:G28"/>
    <mergeCell ref="E29:G29"/>
    <mergeCell ref="E30:G30"/>
    <mergeCell ref="E31:G31"/>
    <mergeCell ref="E95:G95"/>
    <mergeCell ref="E96:G96"/>
    <mergeCell ref="E97:G97"/>
    <mergeCell ref="E32:G32"/>
    <mergeCell ref="E35:G35"/>
    <mergeCell ref="E85:G85"/>
    <mergeCell ref="E34:G34"/>
    <mergeCell ref="E93:G93"/>
    <mergeCell ref="A5:F5"/>
    <mergeCell ref="A6:H6"/>
    <mergeCell ref="A7:H7"/>
    <mergeCell ref="E100:G100"/>
    <mergeCell ref="E101:G101"/>
    <mergeCell ref="D74:H74"/>
    <mergeCell ref="D82:H82"/>
    <mergeCell ref="D99:H99"/>
    <mergeCell ref="D113:H113"/>
    <mergeCell ref="D110:H110"/>
    <mergeCell ref="E73:G73"/>
    <mergeCell ref="E69:G69"/>
    <mergeCell ref="E75:G75"/>
    <mergeCell ref="E77:G77"/>
    <mergeCell ref="E78:G78"/>
    <mergeCell ref="A8:H8"/>
    <mergeCell ref="A9:A10"/>
    <mergeCell ref="B9:B10"/>
    <mergeCell ref="C9:C10"/>
    <mergeCell ref="D9:H10"/>
    <mergeCell ref="E55:G55"/>
    <mergeCell ref="E56:G56"/>
    <mergeCell ref="E67:G67"/>
    <mergeCell ref="E68:G68"/>
    <mergeCell ref="E126:G126"/>
    <mergeCell ref="D22:H22"/>
    <mergeCell ref="D27:H27"/>
    <mergeCell ref="D36:H36"/>
    <mergeCell ref="D46:H46"/>
    <mergeCell ref="D50:H50"/>
    <mergeCell ref="D57:H57"/>
    <mergeCell ref="D65:H65"/>
    <mergeCell ref="E53:G53"/>
    <mergeCell ref="E54:G54"/>
    <mergeCell ref="E72:G72"/>
    <mergeCell ref="E44:G44"/>
    <mergeCell ref="D116:H116"/>
    <mergeCell ref="D124:H124"/>
    <mergeCell ref="E33:G33"/>
    <mergeCell ref="E80:G80"/>
    <mergeCell ref="E79:G79"/>
    <mergeCell ref="E81:G81"/>
    <mergeCell ref="E83:G83"/>
    <mergeCell ref="E84:G84"/>
  </mergeCells>
  <phoneticPr fontId="11" type="noConversion"/>
  <pageMargins left="0.511811024" right="0.511811024" top="0.78740157499999996" bottom="0.78740157499999996" header="0.31496062000000002" footer="0.31496062000000002"/>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23E6B-8637-4596-BEA8-A8305C89E78D}">
  <dimension ref="A1:L40"/>
  <sheetViews>
    <sheetView tabSelected="1" topLeftCell="A31" zoomScaleNormal="100" workbookViewId="0">
      <selection activeCell="L11" sqref="L11"/>
    </sheetView>
  </sheetViews>
  <sheetFormatPr defaultColWidth="8.85546875" defaultRowHeight="12" customHeight="1" x14ac:dyDescent="0.25"/>
  <cols>
    <col min="1" max="1" width="5.7109375" style="22" customWidth="1"/>
    <col min="2" max="2" width="33.7109375" style="22" customWidth="1"/>
    <col min="3" max="4" width="13.5703125" style="22" customWidth="1"/>
    <col min="5" max="10" width="11.7109375" style="22" customWidth="1"/>
    <col min="11" max="11" width="8.85546875" style="22"/>
    <col min="12" max="12" width="9.85546875" style="22" bestFit="1" customWidth="1"/>
    <col min="13" max="16384" width="8.85546875" style="22"/>
  </cols>
  <sheetData>
    <row r="1" spans="1:10" ht="60" customHeight="1" x14ac:dyDescent="0.25">
      <c r="A1" s="88" t="s">
        <v>12</v>
      </c>
      <c r="B1" s="89"/>
      <c r="C1" s="89"/>
      <c r="D1" s="89"/>
      <c r="E1" s="89"/>
      <c r="F1" s="89"/>
      <c r="G1" s="89"/>
      <c r="H1" s="89"/>
      <c r="I1" s="89"/>
      <c r="J1" s="90"/>
    </row>
    <row r="2" spans="1:10" ht="6" customHeight="1" x14ac:dyDescent="0.25">
      <c r="A2" s="150"/>
      <c r="B2" s="150"/>
      <c r="C2" s="150"/>
      <c r="D2" s="150"/>
      <c r="E2" s="150"/>
      <c r="F2" s="150"/>
      <c r="G2" s="150"/>
      <c r="H2" s="150"/>
      <c r="I2" s="150"/>
    </row>
    <row r="3" spans="1:10" s="23" customFormat="1" ht="18" x14ac:dyDescent="0.25">
      <c r="A3" s="153" t="s">
        <v>16</v>
      </c>
      <c r="B3" s="153"/>
      <c r="C3" s="153"/>
      <c r="D3" s="153"/>
      <c r="E3" s="153"/>
      <c r="F3" s="153"/>
      <c r="G3" s="153"/>
      <c r="H3" s="153"/>
      <c r="I3" s="153"/>
      <c r="J3" s="153"/>
    </row>
    <row r="4" spans="1:10" ht="6" customHeight="1" x14ac:dyDescent="0.25">
      <c r="A4" s="151"/>
      <c r="B4" s="150"/>
      <c r="C4" s="150"/>
      <c r="D4" s="150"/>
      <c r="E4" s="150"/>
      <c r="F4" s="150"/>
      <c r="G4" s="150"/>
      <c r="H4" s="150"/>
      <c r="I4" s="150"/>
    </row>
    <row r="5" spans="1:10" s="24" customFormat="1" ht="16.5" customHeight="1" x14ac:dyDescent="0.3">
      <c r="A5" s="152" t="str">
        <f>Orçamento!A4</f>
        <v>Objeto: Reforma e construção parciais de sede da Câmara Municipal de Palma</v>
      </c>
      <c r="B5" s="152"/>
      <c r="C5" s="152"/>
      <c r="D5" s="152"/>
      <c r="E5" s="152"/>
      <c r="F5" s="152"/>
      <c r="G5" s="152"/>
      <c r="H5" s="152"/>
      <c r="I5" s="146"/>
      <c r="J5" s="146"/>
    </row>
    <row r="6" spans="1:10" s="24" customFormat="1" ht="16.5" customHeight="1" x14ac:dyDescent="0.3">
      <c r="A6" s="147" t="str">
        <f>Orçamento!A5</f>
        <v>Contratante: Câmara Municipal de Palma / MG</v>
      </c>
      <c r="B6" s="148"/>
      <c r="C6" s="148"/>
      <c r="D6" s="148"/>
      <c r="E6" s="148"/>
      <c r="F6" s="148"/>
      <c r="G6" s="148"/>
      <c r="H6" s="148"/>
      <c r="I6" s="148"/>
      <c r="J6" s="149"/>
    </row>
    <row r="7" spans="1:10" s="24" customFormat="1" ht="16.5" customHeight="1" x14ac:dyDescent="0.3">
      <c r="A7" s="146" t="str">
        <f>Orçamento!A7</f>
        <v>Endereço: Rua Paula Freitas nº 161, Centro - Palma / MG</v>
      </c>
      <c r="B7" s="146"/>
      <c r="C7" s="146"/>
      <c r="D7" s="146"/>
      <c r="E7" s="146"/>
      <c r="F7" s="146"/>
      <c r="G7" s="146"/>
      <c r="H7" s="146"/>
      <c r="I7" s="71" t="s">
        <v>324</v>
      </c>
      <c r="J7" s="72">
        <v>0.30909999999999999</v>
      </c>
    </row>
    <row r="8" spans="1:10" s="24" customFormat="1" ht="6" customHeight="1" x14ac:dyDescent="0.3">
      <c r="A8" s="141"/>
      <c r="B8" s="141"/>
      <c r="C8" s="141"/>
      <c r="D8" s="141"/>
      <c r="E8" s="141"/>
      <c r="F8" s="141"/>
      <c r="G8" s="141"/>
      <c r="H8" s="141"/>
      <c r="I8" s="141"/>
    </row>
    <row r="9" spans="1:10" s="24" customFormat="1" ht="15.75" customHeight="1" x14ac:dyDescent="0.3">
      <c r="A9" s="142" t="s">
        <v>1</v>
      </c>
      <c r="B9" s="142" t="s">
        <v>3</v>
      </c>
      <c r="C9" s="158" t="s">
        <v>17</v>
      </c>
      <c r="D9" s="158" t="s">
        <v>43</v>
      </c>
      <c r="E9" s="144" t="s">
        <v>44</v>
      </c>
      <c r="F9" s="144"/>
      <c r="G9" s="144"/>
      <c r="H9" s="144"/>
      <c r="I9" s="145" t="s">
        <v>22</v>
      </c>
      <c r="J9" s="145"/>
    </row>
    <row r="10" spans="1:10" s="24" customFormat="1" ht="15.75" customHeight="1" x14ac:dyDescent="0.3">
      <c r="A10" s="142"/>
      <c r="B10" s="142"/>
      <c r="C10" s="158"/>
      <c r="D10" s="158"/>
      <c r="E10" s="143" t="s">
        <v>18</v>
      </c>
      <c r="F10" s="143"/>
      <c r="G10" s="143" t="s">
        <v>19</v>
      </c>
      <c r="H10" s="143"/>
      <c r="I10" s="145"/>
      <c r="J10" s="145"/>
    </row>
    <row r="11" spans="1:10" s="24" customFormat="1" ht="30" customHeight="1" x14ac:dyDescent="0.3">
      <c r="A11" s="142"/>
      <c r="B11" s="142"/>
      <c r="C11" s="158"/>
      <c r="D11" s="158"/>
      <c r="E11" s="69" t="s">
        <v>20</v>
      </c>
      <c r="F11" s="68" t="s">
        <v>308</v>
      </c>
      <c r="G11" s="69" t="s">
        <v>20</v>
      </c>
      <c r="H11" s="68" t="s">
        <v>308</v>
      </c>
      <c r="I11" s="69" t="s">
        <v>20</v>
      </c>
      <c r="J11" s="68" t="s">
        <v>308</v>
      </c>
    </row>
    <row r="12" spans="1:10" s="24" customFormat="1" ht="15.75" customHeight="1" x14ac:dyDescent="0.3">
      <c r="A12" s="61"/>
      <c r="B12" s="62" t="str">
        <f>Orçamento!C12</f>
        <v>PAVIMENTO TÉRREO</v>
      </c>
      <c r="C12" s="65">
        <f>SUM(C13:C29)</f>
        <v>161970.21000000002</v>
      </c>
      <c r="D12" s="66">
        <f>SUM(D13:D29)-0.02%</f>
        <v>1</v>
      </c>
      <c r="E12" s="63"/>
      <c r="F12" s="63"/>
      <c r="G12" s="63"/>
      <c r="H12" s="63"/>
      <c r="I12" s="64"/>
      <c r="J12" s="64"/>
    </row>
    <row r="13" spans="1:10" s="24" customFormat="1" ht="16.5" x14ac:dyDescent="0.3">
      <c r="A13" s="86">
        <v>1</v>
      </c>
      <c r="B13" s="87" t="str">
        <f>Orçamento!C13</f>
        <v>SERVIÇOS PRELIMINARES</v>
      </c>
      <c r="C13" s="74">
        <f>Orçamento!H13</f>
        <v>7735.34</v>
      </c>
      <c r="D13" s="70">
        <f t="shared" ref="D13:D29" si="0">ROUND((C13/C$31),4)</f>
        <v>4.7800000000000002E-2</v>
      </c>
      <c r="E13" s="75">
        <v>1</v>
      </c>
      <c r="F13" s="76">
        <f>ROUND((C13*E13),2)</f>
        <v>7735.34</v>
      </c>
      <c r="G13" s="75">
        <v>0</v>
      </c>
      <c r="H13" s="76">
        <f>ROUND((C13*G13),2)</f>
        <v>0</v>
      </c>
      <c r="I13" s="75">
        <f>E13+G13</f>
        <v>1</v>
      </c>
      <c r="J13" s="76">
        <f>ROUND((C13*I13),2)</f>
        <v>7735.34</v>
      </c>
    </row>
    <row r="14" spans="1:10" s="24" customFormat="1" ht="16.5" x14ac:dyDescent="0.3">
      <c r="A14" s="86">
        <v>2</v>
      </c>
      <c r="B14" s="87" t="str">
        <f>Orçamento!C23</f>
        <v>MOVIMENTAÇÃO DE TERRA</v>
      </c>
      <c r="C14" s="74">
        <f>Orçamento!H23</f>
        <v>2734.13</v>
      </c>
      <c r="D14" s="70">
        <f t="shared" si="0"/>
        <v>1.6899999999999998E-2</v>
      </c>
      <c r="E14" s="75">
        <v>1</v>
      </c>
      <c r="F14" s="76">
        <f t="shared" ref="F14:F29" si="1">ROUND((C14*E14),2)</f>
        <v>2734.13</v>
      </c>
      <c r="G14" s="75">
        <v>0</v>
      </c>
      <c r="H14" s="76">
        <f t="shared" ref="H14:H29" si="2">ROUND((C14*G14),2)</f>
        <v>0</v>
      </c>
      <c r="I14" s="75">
        <f>E14+G14</f>
        <v>1</v>
      </c>
      <c r="J14" s="76">
        <f t="shared" ref="J14:J29" si="3">ROUND((C14*I14),2)</f>
        <v>2734.13</v>
      </c>
    </row>
    <row r="15" spans="1:10" s="24" customFormat="1" ht="16.5" x14ac:dyDescent="0.3">
      <c r="A15" s="86">
        <v>3</v>
      </c>
      <c r="B15" s="87" t="str">
        <f>Orçamento!C28</f>
        <v>FUNDAÇÕES</v>
      </c>
      <c r="C15" s="74">
        <f>Orçamento!H28</f>
        <v>20964.57</v>
      </c>
      <c r="D15" s="70">
        <f t="shared" si="0"/>
        <v>0.12939999999999999</v>
      </c>
      <c r="E15" s="75">
        <v>1</v>
      </c>
      <c r="F15" s="76">
        <f t="shared" si="1"/>
        <v>20964.57</v>
      </c>
      <c r="G15" s="75">
        <v>0</v>
      </c>
      <c r="H15" s="76">
        <f t="shared" si="2"/>
        <v>0</v>
      </c>
      <c r="I15" s="75">
        <f t="shared" ref="I15:I29" si="4">E15+G15</f>
        <v>1</v>
      </c>
      <c r="J15" s="76">
        <f t="shared" si="3"/>
        <v>20964.57</v>
      </c>
    </row>
    <row r="16" spans="1:10" s="24" customFormat="1" ht="16.5" x14ac:dyDescent="0.3">
      <c r="A16" s="86">
        <v>4</v>
      </c>
      <c r="B16" s="87" t="str">
        <f>Orçamento!C37</f>
        <v>ESTRUTURA DE CONCRETO</v>
      </c>
      <c r="C16" s="74">
        <f>Orçamento!H37</f>
        <v>25115.66</v>
      </c>
      <c r="D16" s="70">
        <f t="shared" si="0"/>
        <v>0.15509999999999999</v>
      </c>
      <c r="E16" s="75">
        <v>1</v>
      </c>
      <c r="F16" s="76">
        <f t="shared" si="1"/>
        <v>25115.66</v>
      </c>
      <c r="G16" s="75">
        <v>0</v>
      </c>
      <c r="H16" s="76">
        <f t="shared" si="2"/>
        <v>0</v>
      </c>
      <c r="I16" s="75">
        <f t="shared" si="4"/>
        <v>1</v>
      </c>
      <c r="J16" s="76">
        <f t="shared" si="3"/>
        <v>25115.66</v>
      </c>
    </row>
    <row r="17" spans="1:12" s="24" customFormat="1" ht="16.5" x14ac:dyDescent="0.3">
      <c r="A17" s="86">
        <v>5</v>
      </c>
      <c r="B17" s="87" t="str">
        <f>Orçamento!C47</f>
        <v>ALVENARIA</v>
      </c>
      <c r="C17" s="74">
        <f>Orçamento!H47</f>
        <v>9101.9</v>
      </c>
      <c r="D17" s="70">
        <f t="shared" si="0"/>
        <v>5.62E-2</v>
      </c>
      <c r="E17" s="75">
        <v>1</v>
      </c>
      <c r="F17" s="76">
        <f t="shared" si="1"/>
        <v>9101.9</v>
      </c>
      <c r="G17" s="75">
        <v>0</v>
      </c>
      <c r="H17" s="76">
        <f t="shared" si="2"/>
        <v>0</v>
      </c>
      <c r="I17" s="75">
        <f t="shared" si="4"/>
        <v>1</v>
      </c>
      <c r="J17" s="76">
        <f t="shared" si="3"/>
        <v>9101.9</v>
      </c>
    </row>
    <row r="18" spans="1:12" s="24" customFormat="1" ht="16.5" x14ac:dyDescent="0.3">
      <c r="A18" s="86">
        <v>6</v>
      </c>
      <c r="B18" s="87" t="str">
        <f>Orçamento!C51</f>
        <v>REVESTIMENTO</v>
      </c>
      <c r="C18" s="74">
        <f>Orçamento!H51</f>
        <v>13469.31</v>
      </c>
      <c r="D18" s="70">
        <f t="shared" si="0"/>
        <v>8.3199999999999996E-2</v>
      </c>
      <c r="E18" s="75">
        <v>0</v>
      </c>
      <c r="F18" s="76">
        <f t="shared" si="1"/>
        <v>0</v>
      </c>
      <c r="G18" s="75">
        <v>1</v>
      </c>
      <c r="H18" s="76">
        <f t="shared" si="2"/>
        <v>13469.31</v>
      </c>
      <c r="I18" s="75">
        <f t="shared" si="4"/>
        <v>1</v>
      </c>
      <c r="J18" s="76">
        <f t="shared" si="3"/>
        <v>13469.31</v>
      </c>
    </row>
    <row r="19" spans="1:12" s="24" customFormat="1" ht="16.5" x14ac:dyDescent="0.3">
      <c r="A19" s="86">
        <v>7</v>
      </c>
      <c r="B19" s="87" t="str">
        <f>Orçamento!C58</f>
        <v>PAVIMENTAÇÃO</v>
      </c>
      <c r="C19" s="74">
        <f>Orçamento!H58</f>
        <v>14116.890000000001</v>
      </c>
      <c r="D19" s="70">
        <f t="shared" si="0"/>
        <v>8.72E-2</v>
      </c>
      <c r="E19" s="75">
        <v>0</v>
      </c>
      <c r="F19" s="76">
        <f t="shared" si="1"/>
        <v>0</v>
      </c>
      <c r="G19" s="75">
        <v>1</v>
      </c>
      <c r="H19" s="76">
        <f t="shared" si="2"/>
        <v>14116.89</v>
      </c>
      <c r="I19" s="75">
        <f t="shared" si="4"/>
        <v>1</v>
      </c>
      <c r="J19" s="76">
        <f t="shared" si="3"/>
        <v>14116.89</v>
      </c>
    </row>
    <row r="20" spans="1:12" s="24" customFormat="1" ht="16.5" x14ac:dyDescent="0.3">
      <c r="A20" s="86">
        <v>8</v>
      </c>
      <c r="B20" s="87" t="str">
        <f>Orçamento!C66</f>
        <v>RODAPÉ / PEITORIL / SOLEIRA</v>
      </c>
      <c r="C20" s="74">
        <f>Orçamento!H66</f>
        <v>1989.35</v>
      </c>
      <c r="D20" s="70">
        <f t="shared" si="0"/>
        <v>1.23E-2</v>
      </c>
      <c r="E20" s="75">
        <v>0</v>
      </c>
      <c r="F20" s="76">
        <f t="shared" si="1"/>
        <v>0</v>
      </c>
      <c r="G20" s="75">
        <v>1</v>
      </c>
      <c r="H20" s="76">
        <f t="shared" si="2"/>
        <v>1989.35</v>
      </c>
      <c r="I20" s="75">
        <f t="shared" si="4"/>
        <v>1</v>
      </c>
      <c r="J20" s="76">
        <f t="shared" si="3"/>
        <v>1989.35</v>
      </c>
    </row>
    <row r="21" spans="1:12" s="24" customFormat="1" ht="16.5" x14ac:dyDescent="0.3">
      <c r="A21" s="86">
        <v>9</v>
      </c>
      <c r="B21" s="87" t="str">
        <f>Orçamento!C72</f>
        <v>VIDRO TEMPERADO</v>
      </c>
      <c r="C21" s="74">
        <f>Orçamento!H72</f>
        <v>10158.57</v>
      </c>
      <c r="D21" s="70">
        <f t="shared" si="0"/>
        <v>6.2700000000000006E-2</v>
      </c>
      <c r="E21" s="75">
        <v>0</v>
      </c>
      <c r="F21" s="76">
        <f t="shared" si="1"/>
        <v>0</v>
      </c>
      <c r="G21" s="75">
        <v>1</v>
      </c>
      <c r="H21" s="76">
        <f t="shared" si="2"/>
        <v>10158.57</v>
      </c>
      <c r="I21" s="75">
        <f t="shared" si="4"/>
        <v>1</v>
      </c>
      <c r="J21" s="76">
        <f t="shared" si="3"/>
        <v>10158.57</v>
      </c>
    </row>
    <row r="22" spans="1:12" s="24" customFormat="1" ht="30" customHeight="1" x14ac:dyDescent="0.3">
      <c r="A22" s="86">
        <v>10</v>
      </c>
      <c r="B22" s="87" t="str">
        <f>Orçamento!C75</f>
        <v>ESTRUTURA METÁLICA / COBERTURA / CALHA / CONDUTOR ´PLUVIAL</v>
      </c>
      <c r="C22" s="74">
        <f>Orçamento!H75</f>
        <v>21654.690000000002</v>
      </c>
      <c r="D22" s="70">
        <f t="shared" si="0"/>
        <v>0.13370000000000001</v>
      </c>
      <c r="E22" s="75">
        <v>0</v>
      </c>
      <c r="F22" s="76">
        <f t="shared" si="1"/>
        <v>0</v>
      </c>
      <c r="G22" s="75">
        <v>1</v>
      </c>
      <c r="H22" s="76">
        <f t="shared" si="2"/>
        <v>21654.69</v>
      </c>
      <c r="I22" s="75">
        <f t="shared" si="4"/>
        <v>1</v>
      </c>
      <c r="J22" s="76">
        <f t="shared" si="3"/>
        <v>21654.69</v>
      </c>
    </row>
    <row r="23" spans="1:12" s="24" customFormat="1" ht="16.5" x14ac:dyDescent="0.3">
      <c r="A23" s="86">
        <v>11</v>
      </c>
      <c r="B23" s="87" t="str">
        <f>Orçamento!C83</f>
        <v>INSTALAÇÕES HIDRO SANITÁRIAS</v>
      </c>
      <c r="C23" s="74">
        <f>Orçamento!H83</f>
        <v>7928.5700000000006</v>
      </c>
      <c r="D23" s="70">
        <f t="shared" si="0"/>
        <v>4.9000000000000002E-2</v>
      </c>
      <c r="E23" s="75">
        <v>0.3</v>
      </c>
      <c r="F23" s="76">
        <f t="shared" si="1"/>
        <v>2378.5700000000002</v>
      </c>
      <c r="G23" s="75">
        <v>0.7</v>
      </c>
      <c r="H23" s="76">
        <f t="shared" si="2"/>
        <v>5550</v>
      </c>
      <c r="I23" s="75">
        <f t="shared" si="4"/>
        <v>1</v>
      </c>
      <c r="J23" s="76">
        <f t="shared" si="3"/>
        <v>7928.57</v>
      </c>
    </row>
    <row r="24" spans="1:12" s="24" customFormat="1" ht="16.5" x14ac:dyDescent="0.3">
      <c r="A24" s="86">
        <v>12</v>
      </c>
      <c r="B24" s="87" t="str">
        <f>Orçamento!C100</f>
        <v>INSTALAÇÕES ELÉTRICAS</v>
      </c>
      <c r="C24" s="74">
        <f>Orçamento!H100</f>
        <v>6970.3499999999985</v>
      </c>
      <c r="D24" s="70">
        <f t="shared" si="0"/>
        <v>4.2999999999999997E-2</v>
      </c>
      <c r="E24" s="75">
        <v>0.3</v>
      </c>
      <c r="F24" s="76">
        <f>ROUND((C24*E24),2)-0.01</f>
        <v>2091.1</v>
      </c>
      <c r="G24" s="75">
        <v>0.7</v>
      </c>
      <c r="H24" s="76">
        <f t="shared" si="2"/>
        <v>4879.25</v>
      </c>
      <c r="I24" s="75">
        <f t="shared" si="4"/>
        <v>1</v>
      </c>
      <c r="J24" s="76">
        <f t="shared" si="3"/>
        <v>6970.35</v>
      </c>
    </row>
    <row r="25" spans="1:12" s="24" customFormat="1" ht="16.5" x14ac:dyDescent="0.3">
      <c r="A25" s="86">
        <v>13</v>
      </c>
      <c r="B25" s="87" t="str">
        <f>Orçamento!C111</f>
        <v>FORRO</v>
      </c>
      <c r="C25" s="74">
        <f>Orçamento!H111</f>
        <v>2502.06</v>
      </c>
      <c r="D25" s="70">
        <f t="shared" si="0"/>
        <v>1.54E-2</v>
      </c>
      <c r="E25" s="75">
        <v>0</v>
      </c>
      <c r="F25" s="76">
        <f t="shared" si="1"/>
        <v>0</v>
      </c>
      <c r="G25" s="75">
        <v>1</v>
      </c>
      <c r="H25" s="76">
        <f t="shared" si="2"/>
        <v>2502.06</v>
      </c>
      <c r="I25" s="75">
        <f t="shared" si="4"/>
        <v>1</v>
      </c>
      <c r="J25" s="76">
        <f t="shared" si="3"/>
        <v>2502.06</v>
      </c>
    </row>
    <row r="26" spans="1:12" s="24" customFormat="1" ht="16.5" x14ac:dyDescent="0.3">
      <c r="A26" s="86">
        <v>14</v>
      </c>
      <c r="B26" s="87" t="str">
        <f>Orçamento!C114</f>
        <v>IMPERMEARMEABILIZAÇÃO</v>
      </c>
      <c r="C26" s="74">
        <f>Orçamento!H114</f>
        <v>351.57</v>
      </c>
      <c r="D26" s="70">
        <f t="shared" si="0"/>
        <v>2.2000000000000001E-3</v>
      </c>
      <c r="E26" s="75">
        <v>0</v>
      </c>
      <c r="F26" s="76">
        <f t="shared" si="1"/>
        <v>0</v>
      </c>
      <c r="G26" s="75">
        <v>1</v>
      </c>
      <c r="H26" s="76">
        <f t="shared" si="2"/>
        <v>351.57</v>
      </c>
      <c r="I26" s="75">
        <f t="shared" si="4"/>
        <v>1</v>
      </c>
      <c r="J26" s="76">
        <f t="shared" si="3"/>
        <v>351.57</v>
      </c>
    </row>
    <row r="27" spans="1:12" s="24" customFormat="1" ht="16.5" x14ac:dyDescent="0.3">
      <c r="A27" s="86">
        <v>15</v>
      </c>
      <c r="B27" s="87" t="str">
        <f>Orçamento!C117</f>
        <v>PINTURA</v>
      </c>
      <c r="C27" s="74">
        <f>Orçamento!H117</f>
        <v>9931.57</v>
      </c>
      <c r="D27" s="70">
        <f t="shared" si="0"/>
        <v>6.13E-2</v>
      </c>
      <c r="E27" s="75">
        <v>0</v>
      </c>
      <c r="F27" s="76">
        <f t="shared" si="1"/>
        <v>0</v>
      </c>
      <c r="G27" s="75">
        <v>1</v>
      </c>
      <c r="H27" s="76">
        <f t="shared" si="2"/>
        <v>9931.57</v>
      </c>
      <c r="I27" s="75">
        <f t="shared" si="4"/>
        <v>1</v>
      </c>
      <c r="J27" s="76">
        <f t="shared" si="3"/>
        <v>9931.57</v>
      </c>
    </row>
    <row r="28" spans="1:12" s="24" customFormat="1" ht="16.5" x14ac:dyDescent="0.3">
      <c r="A28" s="86">
        <v>16</v>
      </c>
      <c r="B28" s="87" t="str">
        <f>Orçamento!C125</f>
        <v>CORRIMÃO E GUARDA-CORPO</v>
      </c>
      <c r="C28" s="74">
        <f>Orçamento!H125</f>
        <v>6571.16</v>
      </c>
      <c r="D28" s="70">
        <f t="shared" si="0"/>
        <v>4.0599999999999997E-2</v>
      </c>
      <c r="E28" s="75">
        <v>0</v>
      </c>
      <c r="F28" s="76">
        <f t="shared" si="1"/>
        <v>0</v>
      </c>
      <c r="G28" s="75">
        <v>1</v>
      </c>
      <c r="H28" s="76">
        <f t="shared" si="2"/>
        <v>6571.16</v>
      </c>
      <c r="I28" s="75">
        <f t="shared" si="4"/>
        <v>1</v>
      </c>
      <c r="J28" s="76">
        <f t="shared" si="3"/>
        <v>6571.16</v>
      </c>
    </row>
    <row r="29" spans="1:12" s="24" customFormat="1" ht="16.5" x14ac:dyDescent="0.3">
      <c r="A29" s="86">
        <v>17</v>
      </c>
      <c r="B29" s="87" t="str">
        <f>Orçamento!C129</f>
        <v>LIMPEZA</v>
      </c>
      <c r="C29" s="74">
        <f>Orçamento!H129</f>
        <v>674.52</v>
      </c>
      <c r="D29" s="70">
        <f t="shared" si="0"/>
        <v>4.1999999999999997E-3</v>
      </c>
      <c r="E29" s="75">
        <v>0</v>
      </c>
      <c r="F29" s="76">
        <f t="shared" si="1"/>
        <v>0</v>
      </c>
      <c r="G29" s="75">
        <v>1</v>
      </c>
      <c r="H29" s="76">
        <f t="shared" si="2"/>
        <v>674.52</v>
      </c>
      <c r="I29" s="75">
        <f t="shared" si="4"/>
        <v>1</v>
      </c>
      <c r="J29" s="76">
        <f t="shared" si="3"/>
        <v>674.52</v>
      </c>
    </row>
    <row r="30" spans="1:12" s="24" customFormat="1" ht="12" customHeight="1" x14ac:dyDescent="0.3">
      <c r="A30" s="156" t="s">
        <v>21</v>
      </c>
      <c r="B30" s="156"/>
      <c r="C30" s="77"/>
      <c r="D30" s="78" t="s">
        <v>309</v>
      </c>
      <c r="E30" s="79">
        <f>F30/$C$31</f>
        <v>0.43292695613594623</v>
      </c>
      <c r="F30" s="80">
        <f>SUM(F13:F29)</f>
        <v>70121.27</v>
      </c>
      <c r="G30" s="81">
        <f t="shared" ref="G30" si="5">H30/$C$31</f>
        <v>0.56707304386405377</v>
      </c>
      <c r="H30" s="80">
        <f>SUM(H13:H29)</f>
        <v>91848.940000000017</v>
      </c>
      <c r="I30" s="81">
        <f t="shared" ref="I30" si="6">J30/$C$31</f>
        <v>1</v>
      </c>
      <c r="J30" s="80">
        <f>SUM(J13:J29)</f>
        <v>161970.21000000002</v>
      </c>
      <c r="L30" s="73"/>
    </row>
    <row r="31" spans="1:12" s="24" customFormat="1" ht="12" customHeight="1" x14ac:dyDescent="0.3">
      <c r="A31" s="156" t="s">
        <v>22</v>
      </c>
      <c r="B31" s="156"/>
      <c r="C31" s="82">
        <f>C12</f>
        <v>161970.21000000002</v>
      </c>
      <c r="D31" s="83">
        <f>D12</f>
        <v>1</v>
      </c>
      <c r="E31" s="84">
        <f>E30</f>
        <v>0.43292695613594623</v>
      </c>
      <c r="F31" s="85">
        <f>F30</f>
        <v>70121.27</v>
      </c>
      <c r="G31" s="84">
        <f>H31/$C$31</f>
        <v>1</v>
      </c>
      <c r="H31" s="85">
        <f>H30+F31</f>
        <v>161970.21000000002</v>
      </c>
      <c r="I31" s="162" t="s">
        <v>309</v>
      </c>
      <c r="J31" s="163"/>
    </row>
    <row r="32" spans="1:12" s="24" customFormat="1" ht="20.25" customHeight="1" x14ac:dyDescent="0.3">
      <c r="A32" s="159" t="s">
        <v>311</v>
      </c>
      <c r="B32" s="160"/>
      <c r="C32" s="160"/>
      <c r="D32" s="160"/>
      <c r="E32" s="160"/>
      <c r="F32" s="160"/>
      <c r="G32" s="160"/>
      <c r="H32" s="160"/>
      <c r="I32" s="164">
        <f>J30</f>
        <v>161970.21000000002</v>
      </c>
      <c r="J32" s="165"/>
    </row>
    <row r="33" spans="1:9" ht="12" customHeight="1" x14ac:dyDescent="0.25">
      <c r="A33" s="31"/>
      <c r="B33" s="31"/>
      <c r="C33" s="31"/>
      <c r="D33" s="31"/>
      <c r="E33" s="31"/>
      <c r="F33" s="31"/>
      <c r="G33" s="31"/>
      <c r="H33" s="31"/>
      <c r="I33" s="31"/>
    </row>
    <row r="34" spans="1:9" ht="12" customHeight="1" x14ac:dyDescent="0.25">
      <c r="A34" s="157" t="s">
        <v>310</v>
      </c>
      <c r="B34" s="157"/>
      <c r="C34" s="157"/>
      <c r="D34" s="157"/>
      <c r="E34" s="157"/>
      <c r="F34" s="157"/>
      <c r="G34" s="157"/>
      <c r="H34" s="157"/>
      <c r="I34" s="157"/>
    </row>
    <row r="35" spans="1:9" ht="12" customHeight="1" x14ac:dyDescent="0.25">
      <c r="A35" s="161"/>
      <c r="B35" s="161"/>
      <c r="C35" s="161"/>
      <c r="D35" s="161"/>
      <c r="E35" s="161"/>
      <c r="F35" s="161"/>
      <c r="G35" s="161"/>
      <c r="H35" s="161"/>
      <c r="I35" s="161"/>
    </row>
    <row r="36" spans="1:9" ht="108" customHeight="1" x14ac:dyDescent="0.25">
      <c r="A36" s="154" t="s">
        <v>23</v>
      </c>
      <c r="B36" s="154"/>
      <c r="C36" s="154"/>
      <c r="D36" s="154"/>
      <c r="E36" s="154"/>
      <c r="F36" s="154"/>
      <c r="G36" s="154"/>
      <c r="H36" s="154"/>
      <c r="I36" s="154"/>
    </row>
    <row r="40" spans="1:9" ht="12" customHeight="1" x14ac:dyDescent="0.25">
      <c r="A40" s="155" t="s">
        <v>11</v>
      </c>
      <c r="B40" s="155"/>
      <c r="C40" s="155"/>
      <c r="D40" s="155"/>
      <c r="E40" s="155"/>
      <c r="F40" s="155"/>
      <c r="G40" s="155"/>
      <c r="H40" s="155"/>
      <c r="I40" s="155"/>
    </row>
  </sheetData>
  <mergeCells count="27">
    <mergeCell ref="A36:I36"/>
    <mergeCell ref="A40:I40"/>
    <mergeCell ref="G10:H10"/>
    <mergeCell ref="A30:B30"/>
    <mergeCell ref="A31:B31"/>
    <mergeCell ref="A34:I34"/>
    <mergeCell ref="C9:C11"/>
    <mergeCell ref="D9:D11"/>
    <mergeCell ref="A32:H32"/>
    <mergeCell ref="A35:I35"/>
    <mergeCell ref="I31:J31"/>
    <mergeCell ref="I32:J32"/>
    <mergeCell ref="A1:J1"/>
    <mergeCell ref="A8:I8"/>
    <mergeCell ref="A9:A11"/>
    <mergeCell ref="B9:B11"/>
    <mergeCell ref="E10:F10"/>
    <mergeCell ref="E9:H9"/>
    <mergeCell ref="I9:J10"/>
    <mergeCell ref="A7:H7"/>
    <mergeCell ref="A6:H6"/>
    <mergeCell ref="I6:J6"/>
    <mergeCell ref="A2:I2"/>
    <mergeCell ref="A4:I4"/>
    <mergeCell ref="A5:H5"/>
    <mergeCell ref="A3:J3"/>
    <mergeCell ref="I5:J5"/>
  </mergeCells>
  <pageMargins left="0.59055118110236227" right="0.59055118110236227" top="0.39370078740157483" bottom="0.39370078740157483" header="0" footer="0"/>
  <pageSetup paperSize="9" orientation="landscape" horizontalDpi="4294967292" r:id="rId1"/>
  <headerFooter>
    <oddFooter>&amp;CP&amp;"Arial Narrow,Normal"página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Orçamento</vt:lpstr>
      <vt:lpstr>Mem. Cálculo</vt:lpstr>
      <vt:lpstr>Cronograma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Henrique Castro</dc:creator>
  <cp:lastModifiedBy>José Lima</cp:lastModifiedBy>
  <cp:lastPrinted>2023-09-21T23:05:50Z</cp:lastPrinted>
  <dcterms:created xsi:type="dcterms:W3CDTF">2022-04-20T16:11:44Z</dcterms:created>
  <dcterms:modified xsi:type="dcterms:W3CDTF">2023-09-22T14:11:03Z</dcterms:modified>
</cp:coreProperties>
</file>